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5235" yWindow="-120" windowWidth="11745" windowHeight="8730"/>
  </bookViews>
  <sheets>
    <sheet name="2014" sheetId="3" r:id="rId1"/>
  </sheets>
  <calcPr calcId="125725"/>
</workbook>
</file>

<file path=xl/calcChain.xml><?xml version="1.0" encoding="utf-8"?>
<calcChain xmlns="http://schemas.openxmlformats.org/spreadsheetml/2006/main">
  <c r="C73" i="3"/>
  <c r="C69"/>
  <c r="C64"/>
  <c r="C57"/>
  <c r="C45"/>
  <c r="D67"/>
  <c r="D80"/>
  <c r="D34"/>
  <c r="D32"/>
  <c r="D30"/>
  <c r="D29"/>
  <c r="I59"/>
  <c r="I86"/>
  <c r="C92"/>
  <c r="C91"/>
  <c r="C90"/>
  <c r="C89"/>
  <c r="C88"/>
  <c r="C87"/>
  <c r="C86" s="1"/>
  <c r="K68" l="1"/>
  <c r="C72"/>
  <c r="C71"/>
  <c r="C70"/>
  <c r="C68"/>
  <c r="C67"/>
  <c r="C66"/>
  <c r="C65"/>
  <c r="C63"/>
  <c r="C62"/>
  <c r="C61"/>
  <c r="C59"/>
  <c r="C58"/>
  <c r="C47"/>
  <c r="C48"/>
  <c r="C49"/>
  <c r="C50"/>
  <c r="C51"/>
  <c r="C52"/>
  <c r="C53"/>
  <c r="C54"/>
  <c r="C55"/>
  <c r="C56"/>
  <c r="C46"/>
  <c r="I64"/>
  <c r="I60"/>
  <c r="C60" s="1"/>
  <c r="I45"/>
  <c r="I69"/>
  <c r="I57"/>
  <c r="D77"/>
  <c r="D79"/>
  <c r="K79"/>
  <c r="K77"/>
  <c r="I74"/>
  <c r="K84"/>
  <c r="I80"/>
  <c r="I15"/>
  <c r="I30"/>
  <c r="D76" s="1"/>
  <c r="K76" s="1"/>
  <c r="I32"/>
  <c r="D78" s="1"/>
  <c r="K78" s="1"/>
  <c r="I29"/>
  <c r="D75" s="1"/>
  <c r="K75" s="1"/>
  <c r="I73" l="1"/>
  <c r="I93" s="1"/>
  <c r="C93"/>
  <c r="D74"/>
  <c r="K74"/>
  <c r="J19"/>
  <c r="I19"/>
  <c r="J18"/>
  <c r="I18"/>
  <c r="J17"/>
  <c r="I17"/>
  <c r="J16"/>
  <c r="I16"/>
  <c r="J15"/>
  <c r="I36"/>
  <c r="K82" s="1"/>
  <c r="I35"/>
  <c r="K81" s="1"/>
  <c r="J37"/>
  <c r="I37"/>
  <c r="K83" s="1"/>
  <c r="J34"/>
  <c r="I34"/>
  <c r="K38"/>
  <c r="J28"/>
  <c r="I28"/>
  <c r="J20"/>
  <c r="I25"/>
  <c r="I20" s="1"/>
  <c r="J14"/>
  <c r="I14"/>
  <c r="K41"/>
  <c r="K40"/>
  <c r="K37"/>
  <c r="K36"/>
  <c r="K35"/>
  <c r="K33"/>
  <c r="K32"/>
  <c r="K31"/>
  <c r="K30"/>
  <c r="K29"/>
  <c r="K28" s="1"/>
  <c r="K27"/>
  <c r="K26"/>
  <c r="K25"/>
  <c r="K24"/>
  <c r="K23"/>
  <c r="K22"/>
  <c r="K21"/>
  <c r="K20" s="1"/>
  <c r="K16"/>
  <c r="K17"/>
  <c r="K18"/>
  <c r="K19"/>
  <c r="K15"/>
  <c r="E39"/>
  <c r="F39"/>
  <c r="G39"/>
  <c r="H39"/>
  <c r="I39"/>
  <c r="J39"/>
  <c r="K39"/>
  <c r="E34"/>
  <c r="F34"/>
  <c r="G34"/>
  <c r="H34"/>
  <c r="E28"/>
  <c r="F28"/>
  <c r="G28"/>
  <c r="H28"/>
  <c r="I8"/>
  <c r="K80" l="1"/>
  <c r="K14"/>
  <c r="K13" s="1"/>
  <c r="H20"/>
  <c r="G20" s="1"/>
  <c r="F20" s="1"/>
  <c r="E20" s="1"/>
  <c r="K34"/>
  <c r="K42"/>
  <c r="J13"/>
  <c r="J42" s="1"/>
  <c r="H14" l="1"/>
  <c r="G14" s="1"/>
  <c r="F14" s="1"/>
  <c r="E14" s="1"/>
  <c r="I13"/>
  <c r="I42" s="1"/>
  <c r="E18" l="1"/>
  <c r="E17"/>
  <c r="H83"/>
  <c r="G83"/>
  <c r="F83"/>
  <c r="H82"/>
  <c r="G82"/>
  <c r="F82"/>
  <c r="H81"/>
  <c r="G81"/>
  <c r="F81"/>
  <c r="H80"/>
  <c r="G80"/>
  <c r="F80"/>
  <c r="E80"/>
  <c r="H79"/>
  <c r="G79"/>
  <c r="F79"/>
  <c r="E79"/>
  <c r="H78"/>
  <c r="G78"/>
  <c r="F78"/>
  <c r="E78"/>
  <c r="H77"/>
  <c r="G77"/>
  <c r="F77"/>
  <c r="E77"/>
  <c r="H76"/>
  <c r="G76"/>
  <c r="F76"/>
  <c r="E76"/>
  <c r="G75"/>
  <c r="G74"/>
  <c r="D72"/>
  <c r="K72" s="1"/>
  <c r="D71"/>
  <c r="K71" s="1"/>
  <c r="D70"/>
  <c r="H69"/>
  <c r="G69"/>
  <c r="F69"/>
  <c r="E69"/>
  <c r="K67"/>
  <c r="D66"/>
  <c r="K66" s="1"/>
  <c r="D65"/>
  <c r="H64"/>
  <c r="G64"/>
  <c r="F64"/>
  <c r="E64"/>
  <c r="D63"/>
  <c r="K63" s="1"/>
  <c r="D62"/>
  <c r="K62" s="1"/>
  <c r="D61"/>
  <c r="K61" s="1"/>
  <c r="D60"/>
  <c r="K60" s="1"/>
  <c r="D59"/>
  <c r="K59" s="1"/>
  <c r="D58"/>
  <c r="K58" s="1"/>
  <c r="K57" s="1"/>
  <c r="H57"/>
  <c r="G57"/>
  <c r="F57"/>
  <c r="E57"/>
  <c r="D57"/>
  <c r="D56"/>
  <c r="K56" s="1"/>
  <c r="D55"/>
  <c r="K55" s="1"/>
  <c r="D54"/>
  <c r="K54" s="1"/>
  <c r="D53"/>
  <c r="K53" s="1"/>
  <c r="D52"/>
  <c r="K52" s="1"/>
  <c r="D51"/>
  <c r="K51" s="1"/>
  <c r="D50"/>
  <c r="K50" s="1"/>
  <c r="D49"/>
  <c r="K49" s="1"/>
  <c r="D48"/>
  <c r="K48" s="1"/>
  <c r="D47"/>
  <c r="K47" s="1"/>
  <c r="D46"/>
  <c r="H45"/>
  <c r="H73" s="1"/>
  <c r="G45"/>
  <c r="G73" s="1"/>
  <c r="G93" s="1"/>
  <c r="F45"/>
  <c r="F73" s="1"/>
  <c r="E45"/>
  <c r="E73" s="1"/>
  <c r="D41"/>
  <c r="D40"/>
  <c r="D39"/>
  <c r="H75"/>
  <c r="H74" s="1"/>
  <c r="F75"/>
  <c r="F74" s="1"/>
  <c r="E75"/>
  <c r="D28"/>
  <c r="H27"/>
  <c r="G27"/>
  <c r="F27"/>
  <c r="E27"/>
  <c r="D27"/>
  <c r="H26"/>
  <c r="G26"/>
  <c r="F26"/>
  <c r="E26"/>
  <c r="D26"/>
  <c r="H25"/>
  <c r="G25"/>
  <c r="F25"/>
  <c r="E25"/>
  <c r="D25"/>
  <c r="H24"/>
  <c r="G24"/>
  <c r="F24"/>
  <c r="E24"/>
  <c r="D24"/>
  <c r="H23"/>
  <c r="G23"/>
  <c r="F23"/>
  <c r="E23"/>
  <c r="D23"/>
  <c r="H22"/>
  <c r="G22"/>
  <c r="F22"/>
  <c r="E22"/>
  <c r="D22"/>
  <c r="H21"/>
  <c r="G21"/>
  <c r="F21"/>
  <c r="E21"/>
  <c r="D21"/>
  <c r="D20" s="1"/>
  <c r="C20"/>
  <c r="H19"/>
  <c r="G19"/>
  <c r="F19"/>
  <c r="E19"/>
  <c r="D19"/>
  <c r="D87" s="1"/>
  <c r="D86" s="1"/>
  <c r="H18"/>
  <c r="G18"/>
  <c r="F18"/>
  <c r="D18"/>
  <c r="H17"/>
  <c r="G17"/>
  <c r="F17"/>
  <c r="D17"/>
  <c r="H16"/>
  <c r="G16"/>
  <c r="F16"/>
  <c r="E16"/>
  <c r="D16"/>
  <c r="H15"/>
  <c r="G15"/>
  <c r="F15"/>
  <c r="E15"/>
  <c r="D15"/>
  <c r="D14" s="1"/>
  <c r="H13"/>
  <c r="H42" s="1"/>
  <c r="G13"/>
  <c r="G42" s="1"/>
  <c r="F13"/>
  <c r="F42" s="1"/>
  <c r="E13"/>
  <c r="E42" s="1"/>
  <c r="C14"/>
  <c r="D13"/>
  <c r="D42" s="1"/>
  <c r="E8"/>
  <c r="K46" l="1"/>
  <c r="K45" s="1"/>
  <c r="D45"/>
  <c r="K65"/>
  <c r="K64" s="1"/>
  <c r="D64"/>
  <c r="K70"/>
  <c r="K69" s="1"/>
  <c r="D69"/>
  <c r="K87"/>
  <c r="K86"/>
  <c r="E74"/>
  <c r="E93"/>
  <c r="F93"/>
  <c r="H93"/>
  <c r="D73" l="1"/>
  <c r="D93" s="1"/>
  <c r="K93" s="1"/>
  <c r="K73"/>
</calcChain>
</file>

<file path=xl/comments1.xml><?xml version="1.0" encoding="utf-8"?>
<comments xmlns="http://schemas.openxmlformats.org/spreadsheetml/2006/main">
  <authors>
    <author>Автор</author>
  </authors>
  <commentList>
    <comment ref="I5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услуги банка</t>
        </r>
      </text>
    </comment>
  </commentList>
</comments>
</file>

<file path=xl/sharedStrings.xml><?xml version="1.0" encoding="utf-8"?>
<sst xmlns="http://schemas.openxmlformats.org/spreadsheetml/2006/main" count="184" uniqueCount="163">
  <si>
    <t>№ п/п</t>
  </si>
  <si>
    <t>Наименование статей</t>
  </si>
  <si>
    <t>1.</t>
  </si>
  <si>
    <t>1.1.</t>
  </si>
  <si>
    <t>1.2.</t>
  </si>
  <si>
    <t>2.</t>
  </si>
  <si>
    <t>3.</t>
  </si>
  <si>
    <t>5.</t>
  </si>
  <si>
    <t>5.1.</t>
  </si>
  <si>
    <t>5.2.</t>
  </si>
  <si>
    <t>5.3.</t>
  </si>
  <si>
    <t>5.4.</t>
  </si>
  <si>
    <t>6.</t>
  </si>
  <si>
    <t xml:space="preserve"> Текущий ремонт</t>
  </si>
  <si>
    <t>6.1.</t>
  </si>
  <si>
    <t>6.2.</t>
  </si>
  <si>
    <t>6.3.</t>
  </si>
  <si>
    <t>6.4.</t>
  </si>
  <si>
    <t>7.</t>
  </si>
  <si>
    <t>7.1.</t>
  </si>
  <si>
    <t>7.2.</t>
  </si>
  <si>
    <t>8.</t>
  </si>
  <si>
    <t xml:space="preserve"> Коммунальные услуги</t>
  </si>
  <si>
    <t>9.</t>
  </si>
  <si>
    <t>10.</t>
  </si>
  <si>
    <t>эл.энергия</t>
  </si>
  <si>
    <t>2.1.</t>
  </si>
  <si>
    <t>2.2.</t>
  </si>
  <si>
    <t>Коммунальные услуги:</t>
  </si>
  <si>
    <t>Прочие прямые расходы</t>
  </si>
  <si>
    <t>Услуги сторонних организаций</t>
  </si>
  <si>
    <t>Техническое обслуживание инженерного оборудования и конструктивных элементов здания</t>
  </si>
  <si>
    <t>Оплата труда с отчислениями</t>
  </si>
  <si>
    <t>Услуги ООО "Даниловское"</t>
  </si>
  <si>
    <t>отопление</t>
  </si>
  <si>
    <t>2.3.</t>
  </si>
  <si>
    <t>3.2.</t>
  </si>
  <si>
    <t xml:space="preserve"> 3.3. </t>
  </si>
  <si>
    <t>11.</t>
  </si>
  <si>
    <t>Прочие  услуги, в т.ч.</t>
  </si>
  <si>
    <t>Прочие  доходы, в т.ч.</t>
  </si>
  <si>
    <t>Найм</t>
  </si>
  <si>
    <t>Домофон</t>
  </si>
  <si>
    <t>Антенна, кабельное ТВ</t>
  </si>
  <si>
    <t>13.</t>
  </si>
  <si>
    <t>10.1.</t>
  </si>
  <si>
    <t>10.2.</t>
  </si>
  <si>
    <t>10.3.</t>
  </si>
  <si>
    <t>10.4.</t>
  </si>
  <si>
    <t>6.5.</t>
  </si>
  <si>
    <t>14.</t>
  </si>
  <si>
    <t>1 квартал</t>
  </si>
  <si>
    <t>2 квартал</t>
  </si>
  <si>
    <t>3 квартал</t>
  </si>
  <si>
    <t>4 квартал</t>
  </si>
  <si>
    <t>ВСЕГО ДОХОДОВ:</t>
  </si>
  <si>
    <t xml:space="preserve">ВСЕГО РАСХОДОВ:    </t>
  </si>
  <si>
    <t>Адм.- управленчиские расходы</t>
  </si>
  <si>
    <t>7.3.</t>
  </si>
  <si>
    <t>8.1.</t>
  </si>
  <si>
    <t>8.2.</t>
  </si>
  <si>
    <t>11.1.</t>
  </si>
  <si>
    <t>11.2.</t>
  </si>
  <si>
    <t>11.3.</t>
  </si>
  <si>
    <t>12.</t>
  </si>
  <si>
    <t>Санитарное содержание общего имущества дома и благоустройство</t>
  </si>
  <si>
    <t>Налог при применении УСН (7%)</t>
  </si>
  <si>
    <t>Утверждена</t>
  </si>
  <si>
    <t>общим собранием членов ТСЖ</t>
  </si>
  <si>
    <t xml:space="preserve">СМЕТА ДОХОДОВ: </t>
  </si>
  <si>
    <t>СМЕТА РАСХОДОВ:</t>
  </si>
  <si>
    <t xml:space="preserve">Площадь жилых помещений, оборудованных лифтом и мусоропроводом  (по паспорту), м2:    </t>
  </si>
  <si>
    <t>Содержание и ремонт общего имущества дома, без лифта и мусоропровода</t>
  </si>
  <si>
    <t>Сбор, вывоз и утилизация ТБО (КГО)</t>
  </si>
  <si>
    <t>Уборка МОП и придомовой территории</t>
  </si>
  <si>
    <t>Текущий ремонт</t>
  </si>
  <si>
    <t>Технич. обслуживание лифтов</t>
  </si>
  <si>
    <t>Обслуживание мусоропроводов</t>
  </si>
  <si>
    <t xml:space="preserve">Площадь жилых и нежилых помещений, без лифтов и мусоропровода, м2:    </t>
  </si>
  <si>
    <t>1.1.1</t>
  </si>
  <si>
    <t>1.1.2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</si>
  <si>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</si>
  <si>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</si>
  <si>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</si>
  <si>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</si>
  <si>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</si>
  <si>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</si>
  <si>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</si>
  <si>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</si>
  <si>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1.2.6</t>
  </si>
  <si>
    <t>1.2.7</t>
  </si>
  <si>
    <t>1.3.</t>
  </si>
  <si>
    <t>1.3.1</t>
  </si>
  <si>
    <t>1.3.2</t>
  </si>
  <si>
    <t>1.3.3</t>
  </si>
  <si>
    <t>1.3.4</t>
  </si>
  <si>
    <t>1.3.5</t>
  </si>
  <si>
    <t>природный газ</t>
  </si>
  <si>
    <t xml:space="preserve">Содержание и тех.обслуживание </t>
  </si>
  <si>
    <t>Председатель правления</t>
  </si>
  <si>
    <t>(должность)</t>
  </si>
  <si>
    <t>Главный бухгалтер</t>
  </si>
  <si>
    <t>М.П.</t>
  </si>
  <si>
    <t>Болышев К.В.</t>
  </si>
  <si>
    <t>Францкевич М.И.</t>
  </si>
  <si>
    <t>протокол № _______ от  " _____ "  _________   201  г.</t>
  </si>
  <si>
    <t xml:space="preserve">ГВС </t>
  </si>
  <si>
    <t>Водоснабжение и водоотведение</t>
  </si>
  <si>
    <t>10.5.</t>
  </si>
  <si>
    <t>5.5.</t>
  </si>
  <si>
    <t>5.6.</t>
  </si>
  <si>
    <t>5.7.</t>
  </si>
  <si>
    <t>5.8.</t>
  </si>
  <si>
    <t>5.9.</t>
  </si>
  <si>
    <t>5.10.</t>
  </si>
  <si>
    <t>5.11.</t>
  </si>
  <si>
    <t>Оплата труда АУП + страховые взносы</t>
  </si>
  <si>
    <t>Материальные расходы</t>
  </si>
  <si>
    <t>Содержание и ремонт оргтехники</t>
  </si>
  <si>
    <t>Тех. обслуживание ККТ</t>
  </si>
  <si>
    <t>Услуги интернета</t>
  </si>
  <si>
    <t>Услуги нотариуса</t>
  </si>
  <si>
    <t>Услуги охраны</t>
  </si>
  <si>
    <t>Услуги связи</t>
  </si>
  <si>
    <t>Услуги ЕРЦ</t>
  </si>
  <si>
    <t>Информационно-консультационные услуги</t>
  </si>
  <si>
    <t>8.3.</t>
  </si>
  <si>
    <r>
      <t xml:space="preserve">Итого расходов:
</t>
    </r>
    <r>
      <rPr>
        <sz val="10"/>
        <color indexed="8"/>
        <rFont val="Calibri"/>
        <family val="2"/>
        <charset val="204"/>
        <scheme val="minor"/>
      </rPr>
      <t>(сумма стр. 5, 6, 7,8)</t>
    </r>
  </si>
  <si>
    <t>Содержание и ремонт общего имущества дома, с лифтом и мусоропровода</t>
  </si>
  <si>
    <t>6.6.</t>
  </si>
  <si>
    <t>Услуги по сбору, вывозу и утилизации ТБО (КГО)</t>
  </si>
  <si>
    <t>Услуги ООО "Даниловское" по благоустройству</t>
  </si>
  <si>
    <t>Услуги СЭС</t>
  </si>
  <si>
    <t>Услуги по обслуживанию лифтов</t>
  </si>
  <si>
    <t xml:space="preserve"> на период   с  01 января  2014  г.    по   31 декабря 2014 г.</t>
  </si>
  <si>
    <t>ОТЧЕТ ПО СМЕТЕ ДОХОДОВ и РАСХОДОВ  ТСЖ "Даниловское"</t>
  </si>
  <si>
    <t>Факт. Тариф</t>
  </si>
  <si>
    <t>План расходов руб.</t>
  </si>
  <si>
    <t>Справочно: Уровень сбора платежей за ЖКУ -   102,1 %</t>
  </si>
  <si>
    <t>Модернизация общего имущества</t>
  </si>
  <si>
    <t>Mодернизация общего имущества</t>
  </si>
  <si>
    <t>2.4.</t>
  </si>
  <si>
    <t>Добровольное страхование</t>
  </si>
  <si>
    <t>Членские взносы за жилищно-коммунальные услуги, в т.ч. услуги, всего</t>
  </si>
  <si>
    <t>11.4.</t>
  </si>
  <si>
    <t>Теплоэнергия</t>
  </si>
  <si>
    <t>7.4.</t>
  </si>
  <si>
    <t>План 
Тариф, руб.</t>
  </si>
  <si>
    <t>План
доходов, руб.</t>
  </si>
  <si>
    <t>Начислено, руб. - 2014</t>
  </si>
  <si>
    <t>Оплачено, руб. - 2014</t>
  </si>
  <si>
    <t>Задолженность, руб.      
     (- переплата, + долг)</t>
  </si>
  <si>
    <t>Фактические 
расходы, руб.</t>
  </si>
  <si>
    <t>Отклонение
 план - факт, руб.</t>
  </si>
  <si>
    <t>силового стояка  и подъездного освещения</t>
  </si>
  <si>
    <t>ограждения</t>
  </si>
  <si>
    <t>системы отопления</t>
  </si>
  <si>
    <t>теплообменника</t>
  </si>
  <si>
    <t>трубопровода системы ГВС</t>
  </si>
  <si>
    <t>трансформатора тока</t>
  </si>
  <si>
    <t>Аренда, содержание МОП</t>
  </si>
  <si>
    <t>Комис-ое вознаграж. по агент.договорам</t>
  </si>
  <si>
    <t>услуги банка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</si>
</sst>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5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3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9"/>
      <name val="Arial"/>
      <family val="2"/>
    </font>
    <font>
      <sz val="8"/>
      <name val="Arial"/>
      <family val="2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darkGray">
        <fgColor indexed="9"/>
        <bgColor theme="5" tint="0.39997558519241921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12">
    <xf numFmtId="0" fontId="0" fillId="0" borderId="0" xfId="0"/>
    <xf numFmtId="3" fontId="3" fillId="0" borderId="0" xfId="1" applyNumberFormat="1" applyFont="1" applyAlignment="1" applyProtection="1">
      <alignment horizontal="left"/>
      <protection hidden="1"/>
    </xf>
    <xf numFmtId="3" fontId="3" fillId="0" borderId="0" xfId="1" applyNumberFormat="1" applyFont="1" applyProtection="1">
      <protection hidden="1"/>
    </xf>
    <xf numFmtId="3" fontId="3" fillId="0" borderId="0" xfId="1" applyNumberFormat="1" applyFont="1" applyAlignment="1" applyProtection="1">
      <alignment horizontal="center"/>
      <protection hidden="1"/>
    </xf>
    <xf numFmtId="0" fontId="6" fillId="0" borderId="0" xfId="0" applyFont="1"/>
    <xf numFmtId="3" fontId="8" fillId="6" borderId="2" xfId="1" applyNumberFormat="1" applyFont="1" applyFill="1" applyBorder="1" applyAlignment="1" applyProtection="1">
      <alignment horizontal="center" vertical="center"/>
      <protection hidden="1"/>
    </xf>
    <xf numFmtId="3" fontId="9" fillId="0" borderId="2" xfId="1" applyNumberFormat="1" applyFont="1" applyFill="1" applyBorder="1" applyAlignment="1" applyProtection="1">
      <alignment horizontal="left" vertical="center"/>
      <protection hidden="1"/>
    </xf>
    <xf numFmtId="0" fontId="10" fillId="0" borderId="2" xfId="0" applyFont="1" applyBorder="1"/>
    <xf numFmtId="3" fontId="9" fillId="4" borderId="2" xfId="2" applyNumberFormat="1" applyFont="1" applyFill="1" applyBorder="1" applyAlignment="1" applyProtection="1">
      <alignment horizontal="center" vertical="center" wrapText="1"/>
      <protection hidden="1"/>
    </xf>
    <xf numFmtId="3" fontId="9" fillId="4" borderId="2" xfId="2" applyNumberFormat="1" applyFont="1" applyFill="1" applyBorder="1" applyAlignment="1" applyProtection="1">
      <alignment vertical="center" wrapText="1"/>
      <protection hidden="1"/>
    </xf>
    <xf numFmtId="3" fontId="8" fillId="6" borderId="7" xfId="1" applyNumberFormat="1" applyFont="1" applyFill="1" applyBorder="1" applyAlignment="1" applyProtection="1">
      <alignment horizontal="center" vertical="center"/>
      <protection hidden="1"/>
    </xf>
    <xf numFmtId="3" fontId="8" fillId="6" borderId="2" xfId="1" applyNumberFormat="1" applyFont="1" applyFill="1" applyBorder="1" applyAlignment="1" applyProtection="1">
      <alignment horizontal="left" vertical="top" wrapText="1"/>
      <protection hidden="1"/>
    </xf>
    <xf numFmtId="3" fontId="9" fillId="4" borderId="7" xfId="2" applyNumberFormat="1" applyFont="1" applyFill="1" applyBorder="1" applyAlignment="1" applyProtection="1">
      <alignment horizontal="center" vertical="center" wrapText="1"/>
      <protection hidden="1"/>
    </xf>
    <xf numFmtId="3" fontId="8" fillId="6" borderId="2" xfId="1" applyNumberFormat="1" applyFont="1" applyFill="1" applyBorder="1" applyAlignment="1" applyProtection="1">
      <alignment horizontal="left" vertical="center"/>
      <protection hidden="1"/>
    </xf>
    <xf numFmtId="3" fontId="9" fillId="0" borderId="7" xfId="1" applyNumberFormat="1" applyFont="1" applyFill="1" applyBorder="1" applyAlignment="1" applyProtection="1">
      <alignment horizontal="center" vertical="center"/>
      <protection hidden="1"/>
    </xf>
    <xf numFmtId="3" fontId="8" fillId="5" borderId="7" xfId="1" applyNumberFormat="1" applyFont="1" applyFill="1" applyBorder="1" applyAlignment="1" applyProtection="1">
      <alignment horizontal="center" vertical="center"/>
      <protection hidden="1"/>
    </xf>
    <xf numFmtId="3" fontId="8" fillId="5" borderId="2" xfId="1" applyNumberFormat="1" applyFont="1" applyFill="1" applyBorder="1" applyAlignment="1" applyProtection="1">
      <alignment horizontal="center" vertical="center"/>
      <protection hidden="1"/>
    </xf>
    <xf numFmtId="3" fontId="8" fillId="5" borderId="2" xfId="1" applyNumberFormat="1" applyFont="1" applyFill="1" applyBorder="1" applyAlignment="1" applyProtection="1">
      <alignment vertical="center"/>
      <protection hidden="1"/>
    </xf>
    <xf numFmtId="3" fontId="9" fillId="0" borderId="2" xfId="2" applyNumberFormat="1" applyFont="1" applyFill="1" applyBorder="1" applyAlignment="1" applyProtection="1">
      <alignment vertical="center" wrapText="1"/>
      <protection hidden="1"/>
    </xf>
    <xf numFmtId="3" fontId="8" fillId="5" borderId="2" xfId="1" applyNumberFormat="1" applyFont="1" applyFill="1" applyBorder="1" applyAlignment="1" applyProtection="1">
      <alignment vertical="center" wrapText="1"/>
      <protection hidden="1"/>
    </xf>
    <xf numFmtId="3" fontId="9" fillId="5" borderId="2" xfId="1" applyNumberFormat="1" applyFont="1" applyFill="1" applyBorder="1" applyAlignment="1" applyProtection="1">
      <alignment horizontal="center" vertical="center"/>
      <protection hidden="1"/>
    </xf>
    <xf numFmtId="3" fontId="8" fillId="8" borderId="7" xfId="2" applyNumberFormat="1" applyFont="1" applyFill="1" applyBorder="1" applyAlignment="1" applyProtection="1">
      <alignment horizontal="center" vertical="center" wrapText="1"/>
      <protection hidden="1"/>
    </xf>
    <xf numFmtId="3" fontId="7" fillId="9" borderId="9" xfId="1" applyNumberFormat="1" applyFont="1" applyFill="1" applyBorder="1" applyAlignment="1" applyProtection="1">
      <alignment horizontal="center" vertical="center"/>
      <protection hidden="1"/>
    </xf>
    <xf numFmtId="3" fontId="7" fillId="9" borderId="8" xfId="1" applyNumberFormat="1" applyFont="1" applyFill="1" applyBorder="1" applyAlignment="1" applyProtection="1">
      <alignment horizontal="left" vertical="center"/>
      <protection hidden="1"/>
    </xf>
    <xf numFmtId="3" fontId="7" fillId="9" borderId="8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3" fontId="0" fillId="0" borderId="0" xfId="0" applyNumberFormat="1" applyBorder="1"/>
    <xf numFmtId="3" fontId="9" fillId="4" borderId="4" xfId="2" applyNumberFormat="1" applyFont="1" applyFill="1" applyBorder="1" applyAlignment="1" applyProtection="1">
      <alignment horizontal="center" vertical="center" wrapText="1"/>
      <protection hidden="1"/>
    </xf>
    <xf numFmtId="3" fontId="7" fillId="0" borderId="0" xfId="1" applyNumberFormat="1" applyFont="1" applyFill="1" applyBorder="1" applyAlignment="1" applyProtection="1">
      <alignment horizontal="center" vertical="center"/>
      <protection hidden="1"/>
    </xf>
    <xf numFmtId="3" fontId="2" fillId="0" borderId="0" xfId="1" applyNumberFormat="1" applyFont="1" applyAlignment="1" applyProtection="1">
      <alignment horizontal="center"/>
      <protection hidden="1"/>
    </xf>
    <xf numFmtId="0" fontId="13" fillId="0" borderId="0" xfId="0" applyFont="1"/>
    <xf numFmtId="164" fontId="14" fillId="0" borderId="0" xfId="0" applyNumberFormat="1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4" fontId="9" fillId="4" borderId="2" xfId="2" applyNumberFormat="1" applyFont="1" applyFill="1" applyBorder="1" applyAlignment="1" applyProtection="1">
      <alignment horizontal="center" vertical="center" wrapText="1"/>
      <protection hidden="1"/>
    </xf>
    <xf numFmtId="4" fontId="8" fillId="6" borderId="2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49" fontId="9" fillId="4" borderId="7" xfId="2" applyNumberFormat="1" applyFont="1" applyFill="1" applyBorder="1" applyAlignment="1" applyProtection="1">
      <alignment horizontal="center" vertical="center" wrapText="1"/>
      <protection hidden="1"/>
    </xf>
    <xf numFmtId="3" fontId="8" fillId="4" borderId="7" xfId="2" applyNumberFormat="1" applyFont="1" applyFill="1" applyBorder="1" applyAlignment="1" applyProtection="1">
      <alignment horizontal="center" vertical="center" wrapText="1"/>
      <protection hidden="1"/>
    </xf>
    <xf numFmtId="3" fontId="8" fillId="4" borderId="2" xfId="2" applyNumberFormat="1" applyFont="1" applyFill="1" applyBorder="1" applyAlignment="1" applyProtection="1">
      <alignment vertical="center" wrapText="1"/>
      <protection hidden="1"/>
    </xf>
    <xf numFmtId="4" fontId="8" fillId="4" borderId="2" xfId="2" applyNumberFormat="1" applyFont="1" applyFill="1" applyBorder="1" applyAlignment="1" applyProtection="1">
      <alignment horizontal="center" vertical="center" wrapText="1"/>
      <protection hidden="1"/>
    </xf>
    <xf numFmtId="3" fontId="8" fillId="4" borderId="2" xfId="2" applyNumberFormat="1" applyFont="1" applyFill="1" applyBorder="1" applyAlignment="1" applyProtection="1">
      <alignment horizontal="center" vertical="center" wrapText="1"/>
      <protection hidden="1"/>
    </xf>
    <xf numFmtId="49" fontId="11" fillId="4" borderId="7" xfId="2" applyNumberFormat="1" applyFont="1" applyFill="1" applyBorder="1" applyAlignment="1" applyProtection="1">
      <alignment horizontal="center" vertical="center" wrapText="1"/>
      <protection hidden="1"/>
    </xf>
    <xf numFmtId="0" fontId="15" fillId="0" borderId="10" xfId="0" applyFont="1" applyBorder="1"/>
    <xf numFmtId="0" fontId="16" fillId="0" borderId="10" xfId="0" applyFont="1" applyBorder="1"/>
    <xf numFmtId="0" fontId="16" fillId="0" borderId="0" xfId="0" applyFont="1"/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3" fontId="17" fillId="4" borderId="2" xfId="2" applyNumberFormat="1" applyFont="1" applyFill="1" applyBorder="1" applyAlignment="1" applyProtection="1">
      <alignment horizontal="center" vertical="center" wrapText="1"/>
      <protection hidden="1"/>
    </xf>
    <xf numFmtId="3" fontId="11" fillId="2" borderId="3" xfId="1" applyNumberFormat="1" applyFont="1" applyFill="1" applyBorder="1" applyAlignment="1" applyProtection="1">
      <alignment horizontal="center" vertical="center" wrapText="1"/>
      <protection hidden="1"/>
    </xf>
    <xf numFmtId="3" fontId="8" fillId="5" borderId="2" xfId="1" applyNumberFormat="1" applyFont="1" applyFill="1" applyBorder="1" applyAlignment="1" applyProtection="1">
      <alignment horizontal="center" vertical="center"/>
      <protection hidden="1"/>
    </xf>
    <xf numFmtId="3" fontId="9" fillId="0" borderId="2" xfId="2" applyNumberFormat="1" applyFont="1" applyFill="1" applyBorder="1" applyAlignment="1" applyProtection="1">
      <alignment horizontal="center" vertical="center" wrapText="1"/>
      <protection hidden="1"/>
    </xf>
    <xf numFmtId="3" fontId="8" fillId="5" borderId="2" xfId="1" applyNumberFormat="1" applyFont="1" applyFill="1" applyBorder="1" applyAlignment="1" applyProtection="1">
      <alignment horizontal="center" vertical="center" wrapText="1"/>
      <protection hidden="1"/>
    </xf>
    <xf numFmtId="3" fontId="8" fillId="6" borderId="2" xfId="1" applyNumberFormat="1" applyFont="1" applyFill="1" applyBorder="1" applyAlignment="1" applyProtection="1">
      <alignment horizontal="center" vertical="center"/>
      <protection hidden="1"/>
    </xf>
    <xf numFmtId="3" fontId="11" fillId="2" borderId="3" xfId="1" applyNumberFormat="1" applyFont="1" applyFill="1" applyBorder="1" applyAlignment="1" applyProtection="1">
      <alignment vertical="center" wrapText="1"/>
      <protection hidden="1"/>
    </xf>
    <xf numFmtId="3" fontId="9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Alignment="1">
      <alignment horizontal="left"/>
    </xf>
    <xf numFmtId="4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center"/>
    </xf>
    <xf numFmtId="3" fontId="8" fillId="5" borderId="2" xfId="1" applyNumberFormat="1" applyFont="1" applyFill="1" applyBorder="1" applyAlignment="1" applyProtection="1">
      <alignment horizontal="center" vertical="center" wrapText="1"/>
      <protection hidden="1"/>
    </xf>
    <xf numFmtId="3" fontId="9" fillId="0" borderId="2" xfId="2" applyNumberFormat="1" applyFont="1" applyFill="1" applyBorder="1" applyAlignment="1" applyProtection="1">
      <alignment horizontal="center" vertical="center" wrapText="1"/>
      <protection hidden="1"/>
    </xf>
    <xf numFmtId="3" fontId="8" fillId="5" borderId="2" xfId="1" applyNumberFormat="1" applyFont="1" applyFill="1" applyBorder="1" applyAlignment="1" applyProtection="1">
      <alignment horizontal="center" vertical="center"/>
      <protection hidden="1"/>
    </xf>
    <xf numFmtId="3" fontId="10" fillId="0" borderId="2" xfId="0" applyNumberFormat="1" applyFont="1" applyBorder="1" applyAlignment="1">
      <alignment horizontal="center" vertical="center"/>
    </xf>
    <xf numFmtId="3" fontId="9" fillId="0" borderId="2" xfId="2" applyNumberFormat="1" applyFont="1" applyFill="1" applyBorder="1" applyAlignment="1" applyProtection="1">
      <alignment horizontal="center" vertical="center" wrapText="1"/>
      <protection hidden="1"/>
    </xf>
    <xf numFmtId="4" fontId="9" fillId="0" borderId="2" xfId="2" applyNumberFormat="1" applyFont="1" applyFill="1" applyBorder="1" applyAlignment="1" applyProtection="1">
      <alignment horizontal="center" vertical="center" wrapText="1"/>
      <protection hidden="1"/>
    </xf>
    <xf numFmtId="4" fontId="8" fillId="5" borderId="2" xfId="1" applyNumberFormat="1" applyFont="1" applyFill="1" applyBorder="1" applyAlignment="1" applyProtection="1">
      <alignment horizontal="center" vertical="center"/>
      <protection hidden="1"/>
    </xf>
    <xf numFmtId="4" fontId="8" fillId="5" borderId="2" xfId="1" applyNumberFormat="1" applyFont="1" applyFill="1" applyBorder="1" applyAlignment="1" applyProtection="1">
      <alignment horizontal="center" vertical="center" wrapText="1"/>
      <protection hidden="1"/>
    </xf>
    <xf numFmtId="3" fontId="8" fillId="0" borderId="2" xfId="1" applyNumberFormat="1" applyFont="1" applyFill="1" applyBorder="1" applyAlignment="1" applyProtection="1">
      <alignment horizontal="center" vertical="center"/>
      <protection hidden="1"/>
    </xf>
    <xf numFmtId="3" fontId="9" fillId="0" borderId="2" xfId="1" applyNumberFormat="1" applyFont="1" applyFill="1" applyBorder="1" applyAlignment="1" applyProtection="1">
      <alignment horizontal="center" vertical="center"/>
      <protection hidden="1"/>
    </xf>
    <xf numFmtId="3" fontId="8" fillId="0" borderId="17" xfId="1" applyNumberFormat="1" applyFont="1" applyFill="1" applyBorder="1" applyAlignment="1" applyProtection="1">
      <alignment horizontal="center" vertical="center"/>
      <protection hidden="1"/>
    </xf>
    <xf numFmtId="3" fontId="9" fillId="0" borderId="18" xfId="1" applyNumberFormat="1" applyFont="1" applyFill="1" applyBorder="1" applyAlignment="1" applyProtection="1">
      <alignment horizontal="center" vertical="center"/>
      <protection hidden="1"/>
    </xf>
    <xf numFmtId="3" fontId="9" fillId="0" borderId="2" xfId="1" applyNumberFormat="1" applyFont="1" applyFill="1" applyBorder="1" applyAlignment="1" applyProtection="1">
      <alignment vertical="center" wrapText="1"/>
      <protection hidden="1"/>
    </xf>
    <xf numFmtId="3" fontId="9" fillId="0" borderId="18" xfId="1" applyNumberFormat="1" applyFont="1" applyFill="1" applyBorder="1" applyAlignment="1" applyProtection="1">
      <alignment vertical="center" wrapText="1"/>
      <protection hidden="1"/>
    </xf>
    <xf numFmtId="3" fontId="7" fillId="7" borderId="9" xfId="1" applyNumberFormat="1" applyFont="1" applyFill="1" applyBorder="1" applyAlignment="1" applyProtection="1">
      <alignment horizontal="center" vertical="center"/>
      <protection hidden="1"/>
    </xf>
    <xf numFmtId="3" fontId="7" fillId="7" borderId="8" xfId="1" applyNumberFormat="1" applyFont="1" applyFill="1" applyBorder="1" applyAlignment="1" applyProtection="1">
      <alignment vertical="center" wrapText="1"/>
      <protection hidden="1"/>
    </xf>
    <xf numFmtId="3" fontId="7" fillId="7" borderId="8" xfId="1" applyNumberFormat="1" applyFont="1" applyFill="1" applyBorder="1" applyAlignment="1" applyProtection="1">
      <alignment horizontal="center" vertical="center"/>
      <protection hidden="1"/>
    </xf>
    <xf numFmtId="3" fontId="7" fillId="7" borderId="8" xfId="1" applyNumberFormat="1" applyFont="1" applyFill="1" applyBorder="1" applyAlignment="1" applyProtection="1">
      <alignment horizontal="center" vertical="center" wrapText="1"/>
      <protection hidden="1"/>
    </xf>
    <xf numFmtId="4" fontId="7" fillId="7" borderId="8" xfId="1" applyNumberFormat="1" applyFont="1" applyFill="1" applyBorder="1" applyAlignment="1" applyProtection="1">
      <alignment horizontal="center" vertical="center" wrapText="1"/>
      <protection hidden="1"/>
    </xf>
    <xf numFmtId="3" fontId="10" fillId="0" borderId="2" xfId="0" applyNumberFormat="1" applyFont="1" applyFill="1" applyBorder="1" applyAlignment="1">
      <alignment horizontal="center" vertical="center"/>
    </xf>
    <xf numFmtId="3" fontId="19" fillId="0" borderId="0" xfId="0" applyNumberFormat="1" applyFont="1" applyAlignment="1">
      <alignment horizontal="left"/>
    </xf>
    <xf numFmtId="3" fontId="8" fillId="5" borderId="2" xfId="1" applyNumberFormat="1" applyFont="1" applyFill="1" applyBorder="1" applyAlignment="1" applyProtection="1">
      <alignment horizontal="center" vertical="center" wrapText="1"/>
      <protection hidden="1"/>
    </xf>
    <xf numFmtId="3" fontId="7" fillId="7" borderId="20" xfId="1" applyNumberFormat="1" applyFont="1" applyFill="1" applyBorder="1" applyAlignment="1" applyProtection="1">
      <alignment horizontal="center" vertical="center" wrapText="1"/>
      <protection hidden="1"/>
    </xf>
    <xf numFmtId="3" fontId="7" fillId="7" borderId="21" xfId="1" applyNumberFormat="1" applyFont="1" applyFill="1" applyBorder="1" applyAlignment="1" applyProtection="1">
      <alignment horizontal="center" vertical="center" wrapText="1"/>
      <protection hidden="1"/>
    </xf>
    <xf numFmtId="3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3" fontId="9" fillId="0" borderId="16" xfId="1" applyNumberFormat="1" applyFont="1" applyFill="1" applyBorder="1" applyAlignment="1" applyProtection="1">
      <alignment horizontal="center" vertical="center" wrapText="1"/>
      <protection hidden="1"/>
    </xf>
    <xf numFmtId="3" fontId="9" fillId="0" borderId="1" xfId="1" applyNumberFormat="1" applyFont="1" applyFill="1" applyBorder="1" applyAlignment="1" applyProtection="1">
      <alignment horizontal="center" vertical="center"/>
      <protection hidden="1"/>
    </xf>
    <xf numFmtId="3" fontId="9" fillId="0" borderId="18" xfId="1" applyNumberFormat="1" applyFont="1" applyFill="1" applyBorder="1" applyAlignment="1" applyProtection="1">
      <alignment horizontal="center" vertical="center"/>
      <protection hidden="1"/>
    </xf>
    <xf numFmtId="3" fontId="9" fillId="0" borderId="19" xfId="1" applyNumberFormat="1" applyFont="1" applyFill="1" applyBorder="1" applyAlignment="1" applyProtection="1">
      <alignment horizontal="center" vertical="center"/>
      <protection hidden="1"/>
    </xf>
    <xf numFmtId="3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3" fontId="9" fillId="0" borderId="18" xfId="1" applyNumberFormat="1" applyFont="1" applyFill="1" applyBorder="1" applyAlignment="1" applyProtection="1">
      <alignment horizontal="center" vertical="center" wrapText="1"/>
      <protection hidden="1"/>
    </xf>
    <xf numFmtId="3" fontId="9" fillId="0" borderId="19" xfId="1" applyNumberFormat="1" applyFont="1" applyFill="1" applyBorder="1" applyAlignment="1" applyProtection="1">
      <alignment horizontal="center" vertical="center" wrapText="1"/>
      <protection hidden="1"/>
    </xf>
    <xf numFmtId="3" fontId="9" fillId="2" borderId="14" xfId="1" applyNumberFormat="1" applyFont="1" applyFill="1" applyBorder="1" applyAlignment="1" applyProtection="1">
      <alignment horizontal="center" vertical="center" wrapText="1"/>
      <protection hidden="1"/>
    </xf>
    <xf numFmtId="3" fontId="9" fillId="2" borderId="15" xfId="1" applyNumberFormat="1" applyFont="1" applyFill="1" applyBorder="1" applyAlignment="1" applyProtection="1">
      <alignment horizontal="center" vertical="center" wrapText="1"/>
      <protection hidden="1"/>
    </xf>
    <xf numFmtId="3" fontId="8" fillId="6" borderId="2" xfId="1" applyNumberFormat="1" applyFont="1" applyFill="1" applyBorder="1" applyAlignment="1" applyProtection="1">
      <alignment horizontal="center" vertical="center"/>
      <protection hidden="1"/>
    </xf>
    <xf numFmtId="3" fontId="10" fillId="0" borderId="2" xfId="0" applyNumberFormat="1" applyFont="1" applyBorder="1" applyAlignment="1">
      <alignment horizontal="center"/>
    </xf>
    <xf numFmtId="3" fontId="9" fillId="0" borderId="2" xfId="2" applyNumberFormat="1" applyFont="1" applyFill="1" applyBorder="1" applyAlignment="1" applyProtection="1">
      <alignment horizontal="center" vertical="center" wrapText="1"/>
      <protection hidden="1"/>
    </xf>
    <xf numFmtId="3" fontId="8" fillId="5" borderId="2" xfId="1" applyNumberFormat="1" applyFont="1" applyFill="1" applyBorder="1" applyAlignment="1" applyProtection="1">
      <alignment horizontal="center" vertical="center"/>
      <protection hidden="1"/>
    </xf>
    <xf numFmtId="3" fontId="6" fillId="0" borderId="2" xfId="0" applyNumberFormat="1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3" fontId="2" fillId="0" borderId="0" xfId="1" applyNumberFormat="1" applyFont="1" applyAlignment="1" applyProtection="1">
      <alignment horizontal="center"/>
      <protection hidden="1"/>
    </xf>
    <xf numFmtId="3" fontId="9" fillId="2" borderId="2" xfId="1" applyNumberFormat="1" applyFont="1" applyFill="1" applyBorder="1" applyAlignment="1" applyProtection="1">
      <alignment horizontal="center" vertical="center" wrapText="1"/>
      <protection hidden="1"/>
    </xf>
    <xf numFmtId="3" fontId="12" fillId="3" borderId="6" xfId="1" applyNumberFormat="1" applyFont="1" applyFill="1" applyBorder="1" applyAlignment="1" applyProtection="1">
      <alignment horizontal="center" vertical="center"/>
      <protection hidden="1"/>
    </xf>
    <xf numFmtId="3" fontId="12" fillId="3" borderId="5" xfId="1" applyNumberFormat="1" applyFont="1" applyFill="1" applyBorder="1" applyAlignment="1" applyProtection="1">
      <alignment horizontal="center" vertical="center"/>
      <protection hidden="1"/>
    </xf>
    <xf numFmtId="3" fontId="12" fillId="3" borderId="12" xfId="1" applyNumberFormat="1" applyFont="1" applyFill="1" applyBorder="1" applyAlignment="1" applyProtection="1">
      <alignment horizontal="center" vertical="center"/>
      <protection hidden="1"/>
    </xf>
    <xf numFmtId="3" fontId="12" fillId="3" borderId="13" xfId="1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>
      <alignment horizontal="left" vertical="center" wrapText="1"/>
    </xf>
    <xf numFmtId="3" fontId="11" fillId="2" borderId="1" xfId="1" applyNumberFormat="1" applyFont="1" applyFill="1" applyBorder="1" applyAlignment="1" applyProtection="1">
      <alignment horizontal="center" vertical="center" wrapText="1"/>
      <protection hidden="1"/>
    </xf>
    <xf numFmtId="3" fontId="11" fillId="2" borderId="3" xfId="1" applyNumberFormat="1" applyFont="1" applyFill="1" applyBorder="1" applyAlignment="1" applyProtection="1">
      <alignment horizontal="center" vertical="center" wrapText="1"/>
      <protection hidden="1"/>
    </xf>
    <xf numFmtId="3" fontId="11" fillId="2" borderId="2" xfId="1" applyNumberFormat="1" applyFont="1" applyFill="1" applyBorder="1" applyAlignment="1" applyProtection="1">
      <alignment horizontal="center" vertical="center"/>
      <protection hidden="1"/>
    </xf>
  </cellXfs>
  <cellStyles count="3">
    <cellStyle name="Обычный" xfId="0" builtinId="0"/>
    <cellStyle name="Обычный_Магнитогорск" xfId="1"/>
    <cellStyle name="Обычный_Свод_0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104"/>
  <sheetViews>
    <sheetView tabSelected="1" topLeftCell="A40" workbookViewId="0">
      <selection activeCell="J42" sqref="J42"/>
    </sheetView>
  </sheetViews>
  <sheetFormatPr defaultRowHeight="15" outlineLevelCol="1"/>
  <cols>
    <col min="1" max="1" width="6.85546875" customWidth="1"/>
    <col min="2" max="2" width="36.5703125" customWidth="1"/>
    <col min="3" max="3" width="11" customWidth="1"/>
    <col min="4" max="4" width="11.42578125" customWidth="1"/>
    <col min="5" max="5" width="9.7109375" hidden="1" customWidth="1" outlineLevel="1"/>
    <col min="6" max="6" width="10.140625" hidden="1" customWidth="1" outlineLevel="1"/>
    <col min="7" max="8" width="10.7109375" hidden="1" customWidth="1" outlineLevel="1"/>
    <col min="9" max="9" width="11.42578125" customWidth="1" collapsed="1"/>
    <col min="10" max="10" width="11.5703125" customWidth="1"/>
    <col min="11" max="11" width="13.85546875" customWidth="1"/>
  </cols>
  <sheetData>
    <row r="1" spans="1:11">
      <c r="D1" s="31" t="s">
        <v>67</v>
      </c>
      <c r="E1" s="4"/>
    </row>
    <row r="2" spans="1:11">
      <c r="D2" s="31" t="s">
        <v>68</v>
      </c>
      <c r="E2" s="4"/>
    </row>
    <row r="3" spans="1:11">
      <c r="D3" s="4" t="s">
        <v>105</v>
      </c>
      <c r="E3" s="4"/>
    </row>
    <row r="5" spans="1:11">
      <c r="A5" s="101" t="s">
        <v>135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6" spans="1:11" ht="15.75">
      <c r="A6" s="102" t="s">
        <v>134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</row>
    <row r="7" spans="1:11" ht="15.75">
      <c r="A7" s="30"/>
      <c r="B7" s="30"/>
      <c r="C7" s="30"/>
      <c r="D7" s="30"/>
      <c r="E7" s="30"/>
      <c r="F7" s="30"/>
      <c r="G7" s="30"/>
      <c r="H7" s="30"/>
    </row>
    <row r="8" spans="1:11">
      <c r="A8" s="37" t="s">
        <v>78</v>
      </c>
      <c r="B8" s="37"/>
      <c r="C8" s="37"/>
      <c r="D8" s="37"/>
      <c r="E8" s="32">
        <f>49868-E9</f>
        <v>43960.3</v>
      </c>
      <c r="F8" s="37"/>
      <c r="G8" s="37"/>
      <c r="H8" s="32"/>
      <c r="I8" s="32">
        <f>49868-I9</f>
        <v>43960.3</v>
      </c>
    </row>
    <row r="9" spans="1:11" ht="28.5" customHeight="1">
      <c r="A9" s="108" t="s">
        <v>71</v>
      </c>
      <c r="B9" s="108"/>
      <c r="C9" s="108"/>
      <c r="D9" s="108"/>
      <c r="E9" s="32">
        <v>5907.7</v>
      </c>
      <c r="F9" s="36"/>
      <c r="G9" s="36"/>
      <c r="H9" s="32"/>
      <c r="I9" s="32">
        <v>5907.7</v>
      </c>
    </row>
    <row r="10" spans="1:11" ht="15" customHeight="1">
      <c r="A10" s="109" t="s">
        <v>0</v>
      </c>
      <c r="B10" s="111" t="s">
        <v>1</v>
      </c>
      <c r="C10" s="109" t="s">
        <v>147</v>
      </c>
      <c r="D10" s="103" t="s">
        <v>148</v>
      </c>
      <c r="E10" s="103" t="s">
        <v>51</v>
      </c>
      <c r="F10" s="103" t="s">
        <v>52</v>
      </c>
      <c r="G10" s="103" t="s">
        <v>53</v>
      </c>
      <c r="H10" s="103" t="s">
        <v>54</v>
      </c>
      <c r="I10" s="103" t="s">
        <v>149</v>
      </c>
      <c r="J10" s="103" t="s">
        <v>150</v>
      </c>
      <c r="K10" s="103" t="s">
        <v>151</v>
      </c>
    </row>
    <row r="11" spans="1:11" ht="35.25" customHeight="1">
      <c r="A11" s="110"/>
      <c r="B11" s="111"/>
      <c r="C11" s="110"/>
      <c r="D11" s="103"/>
      <c r="E11" s="103"/>
      <c r="F11" s="103"/>
      <c r="G11" s="103"/>
      <c r="H11" s="103"/>
      <c r="I11" s="103"/>
      <c r="J11" s="103"/>
      <c r="K11" s="103"/>
    </row>
    <row r="12" spans="1:11" ht="15.75">
      <c r="A12" s="104" t="s">
        <v>69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</row>
    <row r="13" spans="1:11" ht="25.5">
      <c r="A13" s="10" t="s">
        <v>2</v>
      </c>
      <c r="B13" s="11" t="s">
        <v>143</v>
      </c>
      <c r="C13" s="35"/>
      <c r="D13" s="5">
        <f>D14+D20+D28</f>
        <v>32143104.504000001</v>
      </c>
      <c r="E13" s="5">
        <f t="shared" ref="E13:K13" si="0">E14+E20+E28</f>
        <v>169368541.06</v>
      </c>
      <c r="F13" s="5">
        <f t="shared" si="0"/>
        <v>90477191.73999998</v>
      </c>
      <c r="G13" s="5">
        <f t="shared" si="0"/>
        <v>45080771.039999999</v>
      </c>
      <c r="H13" s="5">
        <f t="shared" si="0"/>
        <v>22540385.52</v>
      </c>
      <c r="I13" s="5">
        <f>I14+I20+I28</f>
        <v>31991158.200000003</v>
      </c>
      <c r="J13" s="5">
        <f t="shared" si="0"/>
        <v>33350204.32</v>
      </c>
      <c r="K13" s="5">
        <f t="shared" si="0"/>
        <v>-1359046.1199999989</v>
      </c>
    </row>
    <row r="14" spans="1:11" ht="25.5">
      <c r="A14" s="39" t="s">
        <v>3</v>
      </c>
      <c r="B14" s="40" t="s">
        <v>72</v>
      </c>
      <c r="C14" s="41">
        <f>SUM(C15:C19)</f>
        <v>19.12</v>
      </c>
      <c r="D14" s="42">
        <f>D15+D16+D17+D18+D19</f>
        <v>9835312.7039999999</v>
      </c>
      <c r="E14" s="42">
        <f t="shared" ref="E14:G14" si="1">SUM(F14:I14)</f>
        <v>145812989.84999999</v>
      </c>
      <c r="F14" s="42">
        <f t="shared" si="1"/>
        <v>77896247.669999987</v>
      </c>
      <c r="G14" s="42">
        <f t="shared" si="1"/>
        <v>38809566.960000001</v>
      </c>
      <c r="H14" s="42">
        <f>SUM(I14:K14)</f>
        <v>19404783.48</v>
      </c>
      <c r="I14" s="42">
        <f>I15+I16+I17+I18+I19</f>
        <v>9702391.7400000002</v>
      </c>
      <c r="J14" s="42">
        <f>J15+J16+J17+J18+J19</f>
        <v>9979505.4900000002</v>
      </c>
      <c r="K14" s="42">
        <f>K15+K16+K17+K18+K19</f>
        <v>-277113.74999999953</v>
      </c>
    </row>
    <row r="15" spans="1:11">
      <c r="A15" s="38" t="s">
        <v>79</v>
      </c>
      <c r="B15" s="9" t="s">
        <v>98</v>
      </c>
      <c r="C15" s="34">
        <v>4.79</v>
      </c>
      <c r="D15" s="8">
        <f t="shared" ref="D15:D19" si="2">SUM(E15:H15)</f>
        <v>2463972.1680000001</v>
      </c>
      <c r="E15" s="8">
        <f>($C$15*42866.6)*3</f>
        <v>615993.04200000002</v>
      </c>
      <c r="F15" s="8">
        <f t="shared" ref="F15:H15" si="3">($C$15*42866.6)*3</f>
        <v>615993.04200000002</v>
      </c>
      <c r="G15" s="8">
        <f t="shared" si="3"/>
        <v>615993.04200000002</v>
      </c>
      <c r="H15" s="8">
        <f t="shared" si="3"/>
        <v>615993.04200000002</v>
      </c>
      <c r="I15" s="8">
        <f>2616561.27+159358.63+811.91-I21-14.19</f>
        <v>2435257.02</v>
      </c>
      <c r="J15" s="8">
        <f>2687046.14+165531.5-J21</f>
        <v>2503605.06</v>
      </c>
      <c r="K15" s="8">
        <f>I15-J15</f>
        <v>-68348.040000000037</v>
      </c>
    </row>
    <row r="16" spans="1:11">
      <c r="A16" s="38" t="s">
        <v>80</v>
      </c>
      <c r="B16" s="9" t="s">
        <v>73</v>
      </c>
      <c r="C16" s="34">
        <v>1.66</v>
      </c>
      <c r="D16" s="8">
        <f>SUM(E16:H16)</f>
        <v>853902.67200000002</v>
      </c>
      <c r="E16" s="8">
        <f>($C$16*42866.6)*3</f>
        <v>213475.66800000001</v>
      </c>
      <c r="F16" s="8">
        <f t="shared" ref="F16:H16" si="4">($C$16*42866.6)*3</f>
        <v>213475.66800000001</v>
      </c>
      <c r="G16" s="8">
        <f t="shared" si="4"/>
        <v>213475.66800000001</v>
      </c>
      <c r="H16" s="8">
        <f t="shared" si="4"/>
        <v>213475.66800000001</v>
      </c>
      <c r="I16" s="8">
        <f>903189.95+55226.12+278.4-I22</f>
        <v>840359.95</v>
      </c>
      <c r="J16" s="8">
        <f>932027.8+57396.02-J22</f>
        <v>867903.62000000011</v>
      </c>
      <c r="K16" s="8">
        <f t="shared" ref="K16:K41" si="5">I16-J16</f>
        <v>-27543.670000000158</v>
      </c>
    </row>
    <row r="17" spans="1:11">
      <c r="A17" s="38" t="s">
        <v>81</v>
      </c>
      <c r="B17" s="9" t="s">
        <v>74</v>
      </c>
      <c r="C17" s="34">
        <v>4.79</v>
      </c>
      <c r="D17" s="8">
        <f t="shared" si="2"/>
        <v>2463972.1680000001</v>
      </c>
      <c r="E17" s="8">
        <f>($C$17*42866.6)*3</f>
        <v>615993.04200000002</v>
      </c>
      <c r="F17" s="8">
        <f t="shared" ref="F17:H17" si="6">($C$17*42866.6)*3</f>
        <v>615993.04200000002</v>
      </c>
      <c r="G17" s="8">
        <f t="shared" si="6"/>
        <v>615993.04200000002</v>
      </c>
      <c r="H17" s="8">
        <f t="shared" si="6"/>
        <v>615993.04200000002</v>
      </c>
      <c r="I17" s="8">
        <f>2609910.87+159358.63+804.72-I23</f>
        <v>2428613.62</v>
      </c>
      <c r="J17" s="8">
        <f>2680371.19+165531.54-J23</f>
        <v>2496930.08</v>
      </c>
      <c r="K17" s="8">
        <f t="shared" si="5"/>
        <v>-68316.459999999963</v>
      </c>
    </row>
    <row r="18" spans="1:11">
      <c r="A18" s="38" t="s">
        <v>82</v>
      </c>
      <c r="B18" s="9" t="s">
        <v>75</v>
      </c>
      <c r="C18" s="34">
        <v>5.38</v>
      </c>
      <c r="D18" s="8">
        <f t="shared" si="2"/>
        <v>2767467.696</v>
      </c>
      <c r="E18" s="8">
        <f>($C$18*42866.6)*3</f>
        <v>691866.924</v>
      </c>
      <c r="F18" s="8">
        <f t="shared" ref="F18:H18" si="7">($C$18*42866.6)*3</f>
        <v>691866.924</v>
      </c>
      <c r="G18" s="8">
        <f t="shared" si="7"/>
        <v>691866.924</v>
      </c>
      <c r="H18" s="8">
        <f t="shared" si="7"/>
        <v>691866.924</v>
      </c>
      <c r="I18" s="8">
        <f>2931372.72+178986.5+903.85-I24</f>
        <v>2727744.1500000004</v>
      </c>
      <c r="J18" s="8">
        <f>3009982.53+185914.13-J24</f>
        <v>2803990.8499999996</v>
      </c>
      <c r="K18" s="8">
        <f t="shared" si="5"/>
        <v>-76246.699999999255</v>
      </c>
    </row>
    <row r="19" spans="1:11">
      <c r="A19" s="38" t="s">
        <v>83</v>
      </c>
      <c r="B19" s="9" t="s">
        <v>140</v>
      </c>
      <c r="C19" s="34">
        <v>2.5</v>
      </c>
      <c r="D19" s="8">
        <f t="shared" si="2"/>
        <v>1285998</v>
      </c>
      <c r="E19" s="8">
        <f>($C$19*42866.6)*3</f>
        <v>321499.5</v>
      </c>
      <c r="F19" s="8">
        <f t="shared" ref="F19:H19" si="8">($C$19*42866.6)*3</f>
        <v>321499.5</v>
      </c>
      <c r="G19" s="8">
        <f t="shared" si="8"/>
        <v>321499.5</v>
      </c>
      <c r="H19" s="8">
        <f t="shared" si="8"/>
        <v>321499.5</v>
      </c>
      <c r="I19" s="8">
        <f>1448856.75-224.75-I27</f>
        <v>1270417</v>
      </c>
      <c r="J19" s="8">
        <f>1489602.32-J27</f>
        <v>1307075.8800000001</v>
      </c>
      <c r="K19" s="8">
        <f t="shared" si="5"/>
        <v>-36658.880000000121</v>
      </c>
    </row>
    <row r="20" spans="1:11" ht="25.5">
      <c r="A20" s="39" t="s">
        <v>4</v>
      </c>
      <c r="B20" s="40" t="s">
        <v>128</v>
      </c>
      <c r="C20" s="41">
        <f>SUM(C21:C27)</f>
        <v>22.26</v>
      </c>
      <c r="D20" s="42">
        <f>D21+D22+D23+D24+D25+D26+D27</f>
        <v>1586826.36</v>
      </c>
      <c r="E20" s="42">
        <f t="shared" ref="E20:G20" si="9">SUM(F20:I20)</f>
        <v>23555551.209999997</v>
      </c>
      <c r="F20" s="42">
        <f t="shared" si="9"/>
        <v>12580944.069999998</v>
      </c>
      <c r="G20" s="42">
        <f t="shared" si="9"/>
        <v>6271204.0799999991</v>
      </c>
      <c r="H20" s="42">
        <f>SUM(I20:K20)</f>
        <v>3135602.0399999996</v>
      </c>
      <c r="I20" s="42">
        <f>I21+I22+I23+I24+I25+I26+I27</f>
        <v>1567801.0199999998</v>
      </c>
      <c r="J20" s="42">
        <f>J21+J22+J23+J24+J25+J26+J27</f>
        <v>1606336.93</v>
      </c>
      <c r="K20" s="42">
        <f>K21+K22+K23+K24+K25+K26+K27</f>
        <v>-38535.91000000012</v>
      </c>
    </row>
    <row r="21" spans="1:11">
      <c r="A21" s="38" t="s">
        <v>84</v>
      </c>
      <c r="B21" s="9" t="s">
        <v>98</v>
      </c>
      <c r="C21" s="34">
        <v>4.79</v>
      </c>
      <c r="D21" s="8">
        <f t="shared" ref="D21:D27" si="10">SUM(E21:H21)</f>
        <v>341459.94</v>
      </c>
      <c r="E21" s="8">
        <f>($C$21*5940.5)*3</f>
        <v>85364.985000000001</v>
      </c>
      <c r="F21" s="8">
        <f t="shared" ref="F21:H21" si="11">($C$21*5940.5)*3</f>
        <v>85364.985000000001</v>
      </c>
      <c r="G21" s="8">
        <f t="shared" si="11"/>
        <v>85364.985000000001</v>
      </c>
      <c r="H21" s="8">
        <f t="shared" si="11"/>
        <v>85364.985000000001</v>
      </c>
      <c r="I21" s="8">
        <v>341460.6</v>
      </c>
      <c r="J21" s="8">
        <v>348972.58</v>
      </c>
      <c r="K21" s="8">
        <f t="shared" si="5"/>
        <v>-7511.9800000000396</v>
      </c>
    </row>
    <row r="22" spans="1:11">
      <c r="A22" s="38" t="s">
        <v>85</v>
      </c>
      <c r="B22" s="9" t="s">
        <v>73</v>
      </c>
      <c r="C22" s="34">
        <v>1.66</v>
      </c>
      <c r="D22" s="8">
        <f t="shared" si="10"/>
        <v>118334.76</v>
      </c>
      <c r="E22" s="8">
        <f>($C$22*5940.5)*3</f>
        <v>29583.69</v>
      </c>
      <c r="F22" s="8">
        <f t="shared" ref="F22:H22" si="12">($C$22*5940.5)*3</f>
        <v>29583.69</v>
      </c>
      <c r="G22" s="8">
        <f t="shared" si="12"/>
        <v>29583.69</v>
      </c>
      <c r="H22" s="8">
        <f t="shared" si="12"/>
        <v>29583.69</v>
      </c>
      <c r="I22" s="8">
        <v>118334.52</v>
      </c>
      <c r="J22" s="8">
        <v>121520.2</v>
      </c>
      <c r="K22" s="8">
        <f t="shared" si="5"/>
        <v>-3185.679999999993</v>
      </c>
    </row>
    <row r="23" spans="1:11">
      <c r="A23" s="38" t="s">
        <v>86</v>
      </c>
      <c r="B23" s="9" t="s">
        <v>74</v>
      </c>
      <c r="C23" s="34">
        <v>4.79</v>
      </c>
      <c r="D23" s="8">
        <f t="shared" si="10"/>
        <v>341459.94</v>
      </c>
      <c r="E23" s="8">
        <f>($C$23*5940.5)*3</f>
        <v>85364.985000000001</v>
      </c>
      <c r="F23" s="8">
        <f t="shared" ref="F23:H23" si="13">($C$23*5940.5)*3</f>
        <v>85364.985000000001</v>
      </c>
      <c r="G23" s="8">
        <f t="shared" si="13"/>
        <v>85364.985000000001</v>
      </c>
      <c r="H23" s="8">
        <f t="shared" si="13"/>
        <v>85364.985000000001</v>
      </c>
      <c r="I23" s="8">
        <v>341460.6</v>
      </c>
      <c r="J23" s="8">
        <v>348972.65</v>
      </c>
      <c r="K23" s="8">
        <f t="shared" si="5"/>
        <v>-7512.0500000000466</v>
      </c>
    </row>
    <row r="24" spans="1:11">
      <c r="A24" s="38" t="s">
        <v>87</v>
      </c>
      <c r="B24" s="9" t="s">
        <v>75</v>
      </c>
      <c r="C24" s="34">
        <v>5.38</v>
      </c>
      <c r="D24" s="8">
        <f t="shared" si="10"/>
        <v>383518.68</v>
      </c>
      <c r="E24" s="8">
        <f>($C$24*5940.5)*3</f>
        <v>95879.67</v>
      </c>
      <c r="F24" s="8">
        <f t="shared" ref="F24:H24" si="14">($C$24*5940.5)*3</f>
        <v>95879.67</v>
      </c>
      <c r="G24" s="8">
        <f t="shared" si="14"/>
        <v>95879.67</v>
      </c>
      <c r="H24" s="8">
        <f t="shared" si="14"/>
        <v>95879.67</v>
      </c>
      <c r="I24" s="8">
        <v>383518.92</v>
      </c>
      <c r="J24" s="8">
        <v>391905.81</v>
      </c>
      <c r="K24" s="8">
        <f t="shared" si="5"/>
        <v>-8386.890000000014</v>
      </c>
    </row>
    <row r="25" spans="1:11">
      <c r="A25" s="38" t="s">
        <v>88</v>
      </c>
      <c r="B25" s="9" t="s">
        <v>76</v>
      </c>
      <c r="C25" s="34">
        <v>2.25</v>
      </c>
      <c r="D25" s="8">
        <f t="shared" si="10"/>
        <v>160393.5</v>
      </c>
      <c r="E25" s="8">
        <f>($C$25*5940.5)*3</f>
        <v>40098.375</v>
      </c>
      <c r="F25" s="8">
        <f t="shared" ref="F25:H25" si="15">($C$25*5940.5)*3</f>
        <v>40098.375</v>
      </c>
      <c r="G25" s="8">
        <f t="shared" si="15"/>
        <v>40098.375</v>
      </c>
      <c r="H25" s="8">
        <f t="shared" si="15"/>
        <v>40098.375</v>
      </c>
      <c r="I25" s="8">
        <f>143677.8-2311.62</f>
        <v>141366.18</v>
      </c>
      <c r="J25" s="8">
        <v>146827.20000000001</v>
      </c>
      <c r="K25" s="8">
        <f t="shared" si="5"/>
        <v>-5461.0200000000186</v>
      </c>
    </row>
    <row r="26" spans="1:11">
      <c r="A26" s="38" t="s">
        <v>89</v>
      </c>
      <c r="B26" s="9" t="s">
        <v>77</v>
      </c>
      <c r="C26" s="34">
        <v>0.89</v>
      </c>
      <c r="D26" s="8">
        <f t="shared" si="10"/>
        <v>63444.54</v>
      </c>
      <c r="E26" s="8">
        <f>($C$26*5940.5)*3</f>
        <v>15861.135</v>
      </c>
      <c r="F26" s="8">
        <f t="shared" ref="F26:H26" si="16">($C$26*5940.5)*3</f>
        <v>15861.135</v>
      </c>
      <c r="G26" s="8">
        <f t="shared" si="16"/>
        <v>15861.135</v>
      </c>
      <c r="H26" s="8">
        <f t="shared" si="16"/>
        <v>15861.135</v>
      </c>
      <c r="I26" s="8">
        <v>63445.2</v>
      </c>
      <c r="J26" s="8">
        <v>65612.05</v>
      </c>
      <c r="K26" s="8">
        <f t="shared" si="5"/>
        <v>-2166.8500000000058</v>
      </c>
    </row>
    <row r="27" spans="1:11">
      <c r="A27" s="38" t="s">
        <v>90</v>
      </c>
      <c r="B27" s="9" t="s">
        <v>140</v>
      </c>
      <c r="C27" s="34">
        <v>2.5</v>
      </c>
      <c r="D27" s="8">
        <f t="shared" si="10"/>
        <v>178215</v>
      </c>
      <c r="E27" s="8">
        <f>($C$27*5940.5)*3</f>
        <v>44553.75</v>
      </c>
      <c r="F27" s="8">
        <f t="shared" ref="F27:H27" si="17">($C$27*5940.5)*3</f>
        <v>44553.75</v>
      </c>
      <c r="G27" s="8">
        <f t="shared" si="17"/>
        <v>44553.75</v>
      </c>
      <c r="H27" s="8">
        <f t="shared" si="17"/>
        <v>44553.75</v>
      </c>
      <c r="I27" s="8">
        <v>178215</v>
      </c>
      <c r="J27" s="8">
        <v>182526.44</v>
      </c>
      <c r="K27" s="8">
        <f t="shared" si="5"/>
        <v>-4311.4400000000023</v>
      </c>
    </row>
    <row r="28" spans="1:11">
      <c r="A28" s="39" t="s">
        <v>91</v>
      </c>
      <c r="B28" s="40" t="s">
        <v>28</v>
      </c>
      <c r="C28" s="42"/>
      <c r="D28" s="42">
        <f>SUM(D29:D33)</f>
        <v>20720965.440000001</v>
      </c>
      <c r="E28" s="42">
        <f t="shared" ref="E28:H28" si="18">SUM(E29:E33)</f>
        <v>0</v>
      </c>
      <c r="F28" s="42">
        <f t="shared" si="18"/>
        <v>0</v>
      </c>
      <c r="G28" s="42">
        <f t="shared" si="18"/>
        <v>0</v>
      </c>
      <c r="H28" s="42">
        <f t="shared" si="18"/>
        <v>0</v>
      </c>
      <c r="I28" s="42">
        <f>SUM(I29:I33)</f>
        <v>20720965.440000001</v>
      </c>
      <c r="J28" s="42">
        <f t="shared" ref="J28:K28" si="19">SUM(J29:J33)</f>
        <v>21764361.900000002</v>
      </c>
      <c r="K28" s="42">
        <f t="shared" si="19"/>
        <v>-1043396.4599999993</v>
      </c>
    </row>
    <row r="29" spans="1:11">
      <c r="A29" s="43" t="s">
        <v>92</v>
      </c>
      <c r="B29" s="9" t="s">
        <v>34</v>
      </c>
      <c r="C29" s="8"/>
      <c r="D29" s="8">
        <f>10458500.8-1288.69</f>
        <v>10457212.110000001</v>
      </c>
      <c r="E29" s="50"/>
      <c r="F29" s="50"/>
      <c r="G29" s="50">
        <v>0</v>
      </c>
      <c r="H29" s="50"/>
      <c r="I29" s="8">
        <f>10458500.8-1288.69</f>
        <v>10457212.110000001</v>
      </c>
      <c r="J29" s="8">
        <v>10578159.9</v>
      </c>
      <c r="K29" s="8">
        <f t="shared" si="5"/>
        <v>-120947.78999999911</v>
      </c>
    </row>
    <row r="30" spans="1:11">
      <c r="A30" s="43" t="s">
        <v>93</v>
      </c>
      <c r="B30" s="9" t="s">
        <v>107</v>
      </c>
      <c r="C30" s="8"/>
      <c r="D30" s="8">
        <f>1658958.87-90.12</f>
        <v>1658868.75</v>
      </c>
      <c r="E30" s="50"/>
      <c r="F30" s="50"/>
      <c r="G30" s="50"/>
      <c r="H30" s="50"/>
      <c r="I30" s="8">
        <f>1658958.87-90.12</f>
        <v>1658868.75</v>
      </c>
      <c r="J30" s="8">
        <v>2214590.48</v>
      </c>
      <c r="K30" s="8">
        <f t="shared" si="5"/>
        <v>-555721.73</v>
      </c>
    </row>
    <row r="31" spans="1:11">
      <c r="A31" s="43" t="s">
        <v>94</v>
      </c>
      <c r="B31" s="9" t="s">
        <v>106</v>
      </c>
      <c r="C31" s="8"/>
      <c r="D31" s="8">
        <v>3485085.86</v>
      </c>
      <c r="E31" s="50"/>
      <c r="F31" s="50"/>
      <c r="G31" s="50"/>
      <c r="H31" s="50"/>
      <c r="I31" s="8">
        <v>3485085.86</v>
      </c>
      <c r="J31" s="8">
        <v>3673850.33</v>
      </c>
      <c r="K31" s="8">
        <f t="shared" si="5"/>
        <v>-188764.4700000002</v>
      </c>
    </row>
    <row r="32" spans="1:11">
      <c r="A32" s="43" t="s">
        <v>95</v>
      </c>
      <c r="B32" s="9" t="s">
        <v>97</v>
      </c>
      <c r="C32" s="8"/>
      <c r="D32" s="8">
        <f>1082150.09-1898.27</f>
        <v>1080251.82</v>
      </c>
      <c r="E32" s="50"/>
      <c r="F32" s="50"/>
      <c r="G32" s="50"/>
      <c r="H32" s="50"/>
      <c r="I32" s="8">
        <f>1082150.09-1898.27</f>
        <v>1080251.82</v>
      </c>
      <c r="J32" s="8">
        <v>1107652.92</v>
      </c>
      <c r="K32" s="8">
        <f t="shared" si="5"/>
        <v>-27401.09999999986</v>
      </c>
    </row>
    <row r="33" spans="1:11">
      <c r="A33" s="43" t="s">
        <v>96</v>
      </c>
      <c r="B33" s="9" t="s">
        <v>25</v>
      </c>
      <c r="C33" s="33"/>
      <c r="D33" s="64">
        <v>4039546.9</v>
      </c>
      <c r="E33" s="8"/>
      <c r="F33" s="8"/>
      <c r="G33" s="8"/>
      <c r="H33" s="8"/>
      <c r="I33" s="64">
        <v>4039546.9</v>
      </c>
      <c r="J33" s="64">
        <v>4190108.27</v>
      </c>
      <c r="K33" s="8">
        <f t="shared" si="5"/>
        <v>-150561.37000000011</v>
      </c>
    </row>
    <row r="34" spans="1:11">
      <c r="A34" s="10" t="s">
        <v>5</v>
      </c>
      <c r="B34" s="13" t="s">
        <v>39</v>
      </c>
      <c r="C34" s="5"/>
      <c r="D34" s="5">
        <f>SUM(D35:D38)</f>
        <v>1177184</v>
      </c>
      <c r="E34" s="5">
        <f t="shared" ref="E34:H34" si="20">SUM(E35:E37)</f>
        <v>0</v>
      </c>
      <c r="F34" s="5">
        <f t="shared" si="20"/>
        <v>0</v>
      </c>
      <c r="G34" s="5">
        <f t="shared" si="20"/>
        <v>0</v>
      </c>
      <c r="H34" s="5">
        <f t="shared" si="20"/>
        <v>0</v>
      </c>
      <c r="I34" s="5">
        <f>SUM(I35:I38)</f>
        <v>1177185.55</v>
      </c>
      <c r="J34" s="55">
        <f t="shared" ref="J34:K34" si="21">SUM(J35:J38)</f>
        <v>1215092.06</v>
      </c>
      <c r="K34" s="55">
        <f t="shared" si="21"/>
        <v>-37906.509999999922</v>
      </c>
    </row>
    <row r="35" spans="1:11">
      <c r="A35" s="12" t="s">
        <v>26</v>
      </c>
      <c r="B35" s="7" t="s">
        <v>41</v>
      </c>
      <c r="C35" s="33"/>
      <c r="D35" s="96">
        <v>172064</v>
      </c>
      <c r="E35" s="96"/>
      <c r="F35" s="8"/>
      <c r="G35" s="8"/>
      <c r="H35" s="8"/>
      <c r="I35" s="64">
        <f>189949.69-17883.61</f>
        <v>172066.08000000002</v>
      </c>
      <c r="J35" s="64">
        <v>163787.88</v>
      </c>
      <c r="K35" s="8">
        <f t="shared" si="5"/>
        <v>8278.2000000000116</v>
      </c>
    </row>
    <row r="36" spans="1:11">
      <c r="A36" s="12" t="s">
        <v>27</v>
      </c>
      <c r="B36" s="7" t="s">
        <v>42</v>
      </c>
      <c r="C36" s="33"/>
      <c r="D36" s="96">
        <v>218769</v>
      </c>
      <c r="E36" s="96"/>
      <c r="F36" s="28"/>
      <c r="G36" s="28"/>
      <c r="H36" s="8"/>
      <c r="I36" s="64">
        <f>218770-1.17</f>
        <v>218768.83</v>
      </c>
      <c r="J36" s="64">
        <v>226631.74</v>
      </c>
      <c r="K36" s="8">
        <f t="shared" si="5"/>
        <v>-7862.9100000000035</v>
      </c>
    </row>
    <row r="37" spans="1:11">
      <c r="A37" s="12" t="s">
        <v>35</v>
      </c>
      <c r="B37" s="7" t="s">
        <v>43</v>
      </c>
      <c r="C37" s="33"/>
      <c r="D37" s="96">
        <v>691351</v>
      </c>
      <c r="E37" s="96"/>
      <c r="F37" s="8"/>
      <c r="G37" s="8"/>
      <c r="H37" s="8"/>
      <c r="I37" s="64">
        <f>704604-14793.36+2140-600</f>
        <v>691350.64</v>
      </c>
      <c r="J37" s="64">
        <f>727393.6+2278.84</f>
        <v>729672.44</v>
      </c>
      <c r="K37" s="8">
        <f t="shared" si="5"/>
        <v>-38321.79999999993</v>
      </c>
    </row>
    <row r="38" spans="1:11">
      <c r="A38" s="12" t="s">
        <v>141</v>
      </c>
      <c r="B38" s="7" t="s">
        <v>142</v>
      </c>
      <c r="C38" s="33"/>
      <c r="D38" s="96">
        <v>95000</v>
      </c>
      <c r="E38" s="96"/>
      <c r="F38" s="8"/>
      <c r="G38" s="8"/>
      <c r="H38" s="8"/>
      <c r="I38" s="64">
        <v>95000</v>
      </c>
      <c r="J38" s="80">
        <v>95000</v>
      </c>
      <c r="K38" s="8">
        <f t="shared" si="5"/>
        <v>0</v>
      </c>
    </row>
    <row r="39" spans="1:11">
      <c r="A39" s="10" t="s">
        <v>6</v>
      </c>
      <c r="B39" s="13" t="s">
        <v>40</v>
      </c>
      <c r="C39" s="5"/>
      <c r="D39" s="5">
        <f>SUM(D40:D41)</f>
        <v>0</v>
      </c>
      <c r="E39" s="5">
        <f t="shared" ref="E39:K39" si="22">SUM(E40:E41)</f>
        <v>0</v>
      </c>
      <c r="F39" s="5">
        <f t="shared" si="22"/>
        <v>0</v>
      </c>
      <c r="G39" s="5">
        <f t="shared" si="22"/>
        <v>0</v>
      </c>
      <c r="H39" s="5">
        <f t="shared" si="22"/>
        <v>0</v>
      </c>
      <c r="I39" s="5">
        <f t="shared" si="22"/>
        <v>0</v>
      </c>
      <c r="J39" s="5">
        <f>SUM(J40:J41)</f>
        <v>1218165</v>
      </c>
      <c r="K39" s="5">
        <f t="shared" si="22"/>
        <v>-1218165</v>
      </c>
    </row>
    <row r="40" spans="1:11" ht="16.5" customHeight="1">
      <c r="A40" s="14" t="s">
        <v>36</v>
      </c>
      <c r="B40" s="9" t="s">
        <v>160</v>
      </c>
      <c r="C40" s="8"/>
      <c r="D40" s="50">
        <f t="shared" ref="D40:D41" si="23">SUM(E40:H40)</f>
        <v>0</v>
      </c>
      <c r="E40" s="8"/>
      <c r="F40" s="8"/>
      <c r="G40" s="8"/>
      <c r="H40" s="8"/>
      <c r="I40" s="65"/>
      <c r="J40" s="65">
        <v>565649</v>
      </c>
      <c r="K40" s="34">
        <f>I40-J40</f>
        <v>-565649</v>
      </c>
    </row>
    <row r="41" spans="1:11" ht="15.75" thickBot="1">
      <c r="A41" s="14" t="s">
        <v>37</v>
      </c>
      <c r="B41" s="6" t="s">
        <v>161</v>
      </c>
      <c r="C41" s="8"/>
      <c r="D41" s="50">
        <f t="shared" si="23"/>
        <v>0</v>
      </c>
      <c r="E41" s="8"/>
      <c r="F41" s="8"/>
      <c r="G41" s="8"/>
      <c r="H41" s="8"/>
      <c r="I41" s="65"/>
      <c r="J41" s="65">
        <v>652516</v>
      </c>
      <c r="K41" s="34">
        <f t="shared" si="5"/>
        <v>-652516</v>
      </c>
    </row>
    <row r="42" spans="1:11" ht="15.75" thickBot="1">
      <c r="A42" s="22">
        <v>4</v>
      </c>
      <c r="B42" s="23" t="s">
        <v>55</v>
      </c>
      <c r="C42" s="24"/>
      <c r="D42" s="24">
        <f>D13+D34+D39</f>
        <v>33320288.504000001</v>
      </c>
      <c r="E42" s="24">
        <f t="shared" ref="E42:K42" si="24">E13+E34+E39</f>
        <v>169368541.06</v>
      </c>
      <c r="F42" s="24">
        <f t="shared" si="24"/>
        <v>90477191.73999998</v>
      </c>
      <c r="G42" s="24">
        <f t="shared" si="24"/>
        <v>45080771.039999999</v>
      </c>
      <c r="H42" s="24">
        <f t="shared" si="24"/>
        <v>22540385.52</v>
      </c>
      <c r="I42" s="24">
        <f t="shared" si="24"/>
        <v>33168343.750000004</v>
      </c>
      <c r="J42" s="24">
        <f t="shared" si="24"/>
        <v>35783461.380000003</v>
      </c>
      <c r="K42" s="24">
        <f t="shared" si="24"/>
        <v>-2615117.629999999</v>
      </c>
    </row>
    <row r="43" spans="1:11" ht="15.75">
      <c r="A43" s="106" t="s">
        <v>70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</row>
    <row r="44" spans="1:11" ht="38.25">
      <c r="A44" s="56"/>
      <c r="B44" s="51" t="s">
        <v>1</v>
      </c>
      <c r="C44" s="51" t="s">
        <v>136</v>
      </c>
      <c r="D44" s="57" t="s">
        <v>137</v>
      </c>
      <c r="E44" s="51"/>
      <c r="F44" s="51"/>
      <c r="G44" s="51"/>
      <c r="H44" s="51"/>
      <c r="I44" s="93" t="s">
        <v>152</v>
      </c>
      <c r="J44" s="94"/>
      <c r="K44" s="57" t="s">
        <v>153</v>
      </c>
    </row>
    <row r="45" spans="1:11">
      <c r="A45" s="15" t="s">
        <v>7</v>
      </c>
      <c r="B45" s="17" t="s">
        <v>57</v>
      </c>
      <c r="C45" s="67">
        <f>SUM(C46:C56)</f>
        <v>3.4569654554691058</v>
      </c>
      <c r="D45" s="16">
        <f>SUM(D46:D56)</f>
        <v>1805475</v>
      </c>
      <c r="E45" s="16">
        <f>SUM(E46:E56)</f>
        <v>458223</v>
      </c>
      <c r="F45" s="16">
        <f t="shared" ref="F45:H45" si="25">SUM(F46:F56)</f>
        <v>449084</v>
      </c>
      <c r="G45" s="16">
        <f t="shared" si="25"/>
        <v>449084</v>
      </c>
      <c r="H45" s="16">
        <f t="shared" si="25"/>
        <v>449084</v>
      </c>
      <c r="I45" s="98">
        <f>SUM(I46:J56)</f>
        <v>2068703.44</v>
      </c>
      <c r="J45" s="98"/>
      <c r="K45" s="52">
        <f>SUM(K46:K56)</f>
        <v>-263228.44</v>
      </c>
    </row>
    <row r="46" spans="1:11">
      <c r="A46" s="12" t="s">
        <v>8</v>
      </c>
      <c r="B46" s="18" t="s">
        <v>116</v>
      </c>
      <c r="C46" s="66">
        <f>I46/49868/12</f>
        <v>1.9905709406165613</v>
      </c>
      <c r="D46" s="8">
        <f>SUM(E46:H46)</f>
        <v>1251740</v>
      </c>
      <c r="E46" s="8">
        <v>312935</v>
      </c>
      <c r="F46" s="8">
        <v>312935</v>
      </c>
      <c r="G46" s="8">
        <v>312935</v>
      </c>
      <c r="H46" s="8">
        <v>312935</v>
      </c>
      <c r="I46" s="97">
        <v>1191189.5</v>
      </c>
      <c r="J46" s="97"/>
      <c r="K46" s="53">
        <f>D46-I46</f>
        <v>60550.5</v>
      </c>
    </row>
    <row r="47" spans="1:11">
      <c r="A47" s="12" t="s">
        <v>9</v>
      </c>
      <c r="B47" s="18" t="s">
        <v>117</v>
      </c>
      <c r="C47" s="66">
        <f t="shared" ref="C47:C72" si="26">I47/49868/12</f>
        <v>9.503012954199086E-2</v>
      </c>
      <c r="D47" s="8">
        <f t="shared" ref="D47:D56" si="27">SUM(E47:H47)</f>
        <v>89438</v>
      </c>
      <c r="E47" s="8">
        <v>22359.5</v>
      </c>
      <c r="F47" s="8">
        <v>22359.5</v>
      </c>
      <c r="G47" s="8">
        <v>22359.5</v>
      </c>
      <c r="H47" s="8">
        <v>22359.5</v>
      </c>
      <c r="I47" s="97">
        <v>56867.55</v>
      </c>
      <c r="J47" s="97"/>
      <c r="K47" s="62">
        <f t="shared" ref="K47:K72" si="28">D47-I47</f>
        <v>32570.449999999997</v>
      </c>
    </row>
    <row r="48" spans="1:11">
      <c r="A48" s="12" t="s">
        <v>10</v>
      </c>
      <c r="B48" s="18" t="s">
        <v>118</v>
      </c>
      <c r="C48" s="66">
        <f t="shared" si="26"/>
        <v>1.6643940001604237E-2</v>
      </c>
      <c r="D48" s="8">
        <f t="shared" si="27"/>
        <v>19950</v>
      </c>
      <c r="E48" s="8">
        <v>4987.5</v>
      </c>
      <c r="F48" s="8">
        <v>4987.5</v>
      </c>
      <c r="G48" s="8">
        <v>4987.5</v>
      </c>
      <c r="H48" s="8">
        <v>4987.5</v>
      </c>
      <c r="I48" s="97">
        <v>9960</v>
      </c>
      <c r="J48" s="97"/>
      <c r="K48" s="62">
        <f t="shared" si="28"/>
        <v>9990</v>
      </c>
    </row>
    <row r="49" spans="1:11">
      <c r="A49" s="12" t="s">
        <v>11</v>
      </c>
      <c r="B49" s="18" t="s">
        <v>119</v>
      </c>
      <c r="C49" s="66">
        <f t="shared" si="26"/>
        <v>1.5272151814122616E-2</v>
      </c>
      <c r="D49" s="8">
        <f t="shared" si="27"/>
        <v>9139</v>
      </c>
      <c r="E49" s="8">
        <v>9139</v>
      </c>
      <c r="F49" s="28">
        <v>0</v>
      </c>
      <c r="G49" s="28">
        <v>0</v>
      </c>
      <c r="H49" s="8">
        <v>0</v>
      </c>
      <c r="I49" s="97">
        <v>9139.1</v>
      </c>
      <c r="J49" s="97"/>
      <c r="K49" s="62">
        <f t="shared" si="28"/>
        <v>-0.1000000000003638</v>
      </c>
    </row>
    <row r="50" spans="1:11" ht="15.75" customHeight="1">
      <c r="A50" s="12" t="s">
        <v>109</v>
      </c>
      <c r="B50" s="18" t="s">
        <v>125</v>
      </c>
      <c r="C50" s="66">
        <f t="shared" si="26"/>
        <v>0.45419594395871771</v>
      </c>
      <c r="D50" s="8">
        <f t="shared" si="27"/>
        <v>289468</v>
      </c>
      <c r="E50" s="8">
        <v>72367</v>
      </c>
      <c r="F50" s="8">
        <v>72367</v>
      </c>
      <c r="G50" s="8">
        <v>72367</v>
      </c>
      <c r="H50" s="8">
        <v>72367</v>
      </c>
      <c r="I50" s="97">
        <v>271798.12</v>
      </c>
      <c r="J50" s="97"/>
      <c r="K50" s="62">
        <f t="shared" si="28"/>
        <v>17669.880000000005</v>
      </c>
    </row>
    <row r="51" spans="1:11">
      <c r="A51" s="12" t="s">
        <v>110</v>
      </c>
      <c r="B51" s="18" t="s">
        <v>124</v>
      </c>
      <c r="C51" s="66">
        <f t="shared" si="26"/>
        <v>4.864121280179675E-2</v>
      </c>
      <c r="D51" s="8">
        <f t="shared" si="27"/>
        <v>29108</v>
      </c>
      <c r="E51" s="8">
        <v>7277</v>
      </c>
      <c r="F51" s="8">
        <v>7277</v>
      </c>
      <c r="G51" s="8">
        <v>7277</v>
      </c>
      <c r="H51" s="8">
        <v>7277</v>
      </c>
      <c r="I51" s="97">
        <v>29107.68</v>
      </c>
      <c r="J51" s="97"/>
      <c r="K51" s="62">
        <f t="shared" si="28"/>
        <v>0.31999999999970896</v>
      </c>
    </row>
    <row r="52" spans="1:11">
      <c r="A52" s="12" t="s">
        <v>111</v>
      </c>
      <c r="B52" s="18" t="s">
        <v>120</v>
      </c>
      <c r="C52" s="66">
        <f t="shared" si="26"/>
        <v>1.0360685543167296E-2</v>
      </c>
      <c r="D52" s="8">
        <f t="shared" si="27"/>
        <v>7600</v>
      </c>
      <c r="E52" s="8">
        <v>1900</v>
      </c>
      <c r="F52" s="8">
        <v>1900</v>
      </c>
      <c r="G52" s="8">
        <v>1900</v>
      </c>
      <c r="H52" s="8">
        <v>1900</v>
      </c>
      <c r="I52" s="97">
        <v>6200</v>
      </c>
      <c r="J52" s="97"/>
      <c r="K52" s="62">
        <f t="shared" si="28"/>
        <v>1400</v>
      </c>
    </row>
    <row r="53" spans="1:11">
      <c r="A53" s="12" t="s">
        <v>112</v>
      </c>
      <c r="B53" s="18" t="s">
        <v>122</v>
      </c>
      <c r="C53" s="66">
        <f t="shared" si="26"/>
        <v>0.28341431378840137</v>
      </c>
      <c r="D53" s="8">
        <f t="shared" si="27"/>
        <v>10120</v>
      </c>
      <c r="E53" s="8">
        <v>2530</v>
      </c>
      <c r="F53" s="8">
        <v>2530</v>
      </c>
      <c r="G53" s="8">
        <v>2530</v>
      </c>
      <c r="H53" s="8">
        <v>2530</v>
      </c>
      <c r="I53" s="97">
        <v>169599.66</v>
      </c>
      <c r="J53" s="97"/>
      <c r="K53" s="62">
        <f t="shared" si="28"/>
        <v>-159479.66</v>
      </c>
    </row>
    <row r="54" spans="1:11">
      <c r="A54" s="12" t="s">
        <v>113</v>
      </c>
      <c r="B54" s="18" t="s">
        <v>123</v>
      </c>
      <c r="C54" s="66">
        <f t="shared" si="26"/>
        <v>3.3497199272746712E-2</v>
      </c>
      <c r="D54" s="8">
        <f t="shared" si="27"/>
        <v>27418</v>
      </c>
      <c r="E54" s="8">
        <v>6854.5</v>
      </c>
      <c r="F54" s="8">
        <v>6854.5</v>
      </c>
      <c r="G54" s="8">
        <v>6854.5</v>
      </c>
      <c r="H54" s="8">
        <v>6854.5</v>
      </c>
      <c r="I54" s="97">
        <v>20045.259999999998</v>
      </c>
      <c r="J54" s="97"/>
      <c r="K54" s="62">
        <f t="shared" si="28"/>
        <v>7372.7400000000016</v>
      </c>
    </row>
    <row r="55" spans="1:11">
      <c r="A55" s="12" t="s">
        <v>114</v>
      </c>
      <c r="B55" s="18" t="s">
        <v>121</v>
      </c>
      <c r="C55" s="66">
        <f t="shared" si="26"/>
        <v>0</v>
      </c>
      <c r="D55" s="8">
        <f t="shared" si="27"/>
        <v>1000</v>
      </c>
      <c r="E55" s="8">
        <v>250</v>
      </c>
      <c r="F55" s="8">
        <v>250</v>
      </c>
      <c r="G55" s="8">
        <v>250</v>
      </c>
      <c r="H55" s="8">
        <v>250</v>
      </c>
      <c r="I55" s="97">
        <v>0</v>
      </c>
      <c r="J55" s="97"/>
      <c r="K55" s="62">
        <f t="shared" si="28"/>
        <v>1000</v>
      </c>
    </row>
    <row r="56" spans="1:11">
      <c r="A56" s="12" t="s">
        <v>115</v>
      </c>
      <c r="B56" s="18" t="s">
        <v>162</v>
      </c>
      <c r="C56" s="66">
        <f t="shared" si="26"/>
        <v>0.50933893812999653</v>
      </c>
      <c r="D56" s="8">
        <f t="shared" si="27"/>
        <v>70494</v>
      </c>
      <c r="E56" s="8">
        <v>17623.5</v>
      </c>
      <c r="F56" s="8">
        <v>17623.5</v>
      </c>
      <c r="G56" s="8">
        <v>17623.5</v>
      </c>
      <c r="H56" s="8">
        <v>17623.5</v>
      </c>
      <c r="I56" s="97">
        <v>304796.57</v>
      </c>
      <c r="J56" s="97"/>
      <c r="K56" s="62">
        <f t="shared" si="28"/>
        <v>-234302.57</v>
      </c>
    </row>
    <row r="57" spans="1:11" ht="25.5">
      <c r="A57" s="15" t="s">
        <v>12</v>
      </c>
      <c r="B57" s="19" t="s">
        <v>65</v>
      </c>
      <c r="C57" s="68">
        <f>SUM(C58:C63)</f>
        <v>5.3619001497286165</v>
      </c>
      <c r="D57" s="16">
        <f>SUM(D58:D63)</f>
        <v>2846295.2</v>
      </c>
      <c r="E57" s="16">
        <f>SUM(E58:E63)</f>
        <v>711573.8</v>
      </c>
      <c r="F57" s="16">
        <f t="shared" ref="F57:H57" si="29">SUM(F58:F63)</f>
        <v>711573.8</v>
      </c>
      <c r="G57" s="16">
        <f t="shared" si="29"/>
        <v>711573.8</v>
      </c>
      <c r="H57" s="16">
        <f t="shared" si="29"/>
        <v>711573.8</v>
      </c>
      <c r="I57" s="82">
        <f>SUM(I58:J63)</f>
        <v>3208646.8400000003</v>
      </c>
      <c r="J57" s="82"/>
      <c r="K57" s="54">
        <f>SUM(K58:K63)</f>
        <v>-362351.64000000007</v>
      </c>
    </row>
    <row r="58" spans="1:11">
      <c r="A58" s="12" t="s">
        <v>14</v>
      </c>
      <c r="B58" s="18" t="s">
        <v>32</v>
      </c>
      <c r="C58" s="66">
        <f t="shared" si="26"/>
        <v>2.5483739739579154</v>
      </c>
      <c r="D58" s="8">
        <f>SUM(E58:H58)</f>
        <v>1560893.2</v>
      </c>
      <c r="E58" s="8">
        <v>390223.3</v>
      </c>
      <c r="F58" s="8">
        <v>390223.3</v>
      </c>
      <c r="G58" s="8">
        <v>390223.3</v>
      </c>
      <c r="H58" s="8">
        <v>390223.3</v>
      </c>
      <c r="I58" s="97">
        <v>1524987.76</v>
      </c>
      <c r="J58" s="97"/>
      <c r="K58" s="62">
        <f t="shared" si="28"/>
        <v>35905.439999999944</v>
      </c>
    </row>
    <row r="59" spans="1:11">
      <c r="A59" s="12" t="s">
        <v>15</v>
      </c>
      <c r="B59" s="18" t="s">
        <v>117</v>
      </c>
      <c r="C59" s="66">
        <f t="shared" si="26"/>
        <v>0.97591245889147349</v>
      </c>
      <c r="D59" s="8">
        <f>SUM(E59:H59)</f>
        <v>221880</v>
      </c>
      <c r="E59" s="8">
        <v>55470</v>
      </c>
      <c r="F59" s="8">
        <v>55470</v>
      </c>
      <c r="G59" s="8">
        <v>55470</v>
      </c>
      <c r="H59" s="8">
        <v>55470</v>
      </c>
      <c r="I59" s="97">
        <f>568001.63+16000</f>
        <v>584001.63</v>
      </c>
      <c r="J59" s="97"/>
      <c r="K59" s="62">
        <f t="shared" si="28"/>
        <v>-362121.63</v>
      </c>
    </row>
    <row r="60" spans="1:11">
      <c r="A60" s="12" t="s">
        <v>16</v>
      </c>
      <c r="B60" s="18" t="s">
        <v>29</v>
      </c>
      <c r="C60" s="66">
        <f t="shared" si="26"/>
        <v>0.49301566134595326</v>
      </c>
      <c r="D60" s="8">
        <f t="shared" ref="D60" si="30">SUM(E60:H60)</f>
        <v>231840</v>
      </c>
      <c r="E60" s="8">
        <v>57960</v>
      </c>
      <c r="F60" s="8">
        <v>57960</v>
      </c>
      <c r="G60" s="8">
        <v>57960</v>
      </c>
      <c r="H60" s="8">
        <v>57960</v>
      </c>
      <c r="I60" s="97">
        <f>150300+144728.46</f>
        <v>295028.45999999996</v>
      </c>
      <c r="J60" s="97"/>
      <c r="K60" s="62">
        <f t="shared" si="28"/>
        <v>-63188.459999999963</v>
      </c>
    </row>
    <row r="61" spans="1:11" ht="25.5">
      <c r="A61" s="12" t="s">
        <v>17</v>
      </c>
      <c r="B61" s="18" t="s">
        <v>130</v>
      </c>
      <c r="C61" s="66">
        <f t="shared" si="26"/>
        <v>1.2296962313841877</v>
      </c>
      <c r="D61" s="8">
        <f>SUM(E61:H61)</f>
        <v>670226</v>
      </c>
      <c r="E61" s="8">
        <v>167556.5</v>
      </c>
      <c r="F61" s="8">
        <v>167556.5</v>
      </c>
      <c r="G61" s="8">
        <v>167556.5</v>
      </c>
      <c r="H61" s="8">
        <v>167556.5</v>
      </c>
      <c r="I61" s="97">
        <v>735869.9</v>
      </c>
      <c r="J61" s="97"/>
      <c r="K61" s="62">
        <f t="shared" si="28"/>
        <v>-65643.900000000023</v>
      </c>
    </row>
    <row r="62" spans="1:11">
      <c r="A62" s="12" t="s">
        <v>49</v>
      </c>
      <c r="B62" s="18" t="s">
        <v>132</v>
      </c>
      <c r="C62" s="66">
        <f t="shared" si="26"/>
        <v>1.0640407342049678E-2</v>
      </c>
      <c r="D62" s="8">
        <f>SUM(E62:H62)</f>
        <v>23936</v>
      </c>
      <c r="E62" s="8">
        <v>5984</v>
      </c>
      <c r="F62" s="8">
        <v>5984</v>
      </c>
      <c r="G62" s="8">
        <v>5984</v>
      </c>
      <c r="H62" s="8">
        <v>5984</v>
      </c>
      <c r="I62" s="97">
        <v>6367.39</v>
      </c>
      <c r="J62" s="97"/>
      <c r="K62" s="62">
        <f t="shared" si="28"/>
        <v>17568.61</v>
      </c>
    </row>
    <row r="63" spans="1:11" ht="25.5">
      <c r="A63" s="12" t="s">
        <v>129</v>
      </c>
      <c r="B63" s="18" t="s">
        <v>131</v>
      </c>
      <c r="C63" s="66">
        <f t="shared" si="26"/>
        <v>0.10426141680703725</v>
      </c>
      <c r="D63" s="8">
        <f>SUM(E63:H63)</f>
        <v>137520</v>
      </c>
      <c r="E63" s="8">
        <v>34380</v>
      </c>
      <c r="F63" s="8">
        <v>34380</v>
      </c>
      <c r="G63" s="8">
        <v>34380</v>
      </c>
      <c r="H63" s="8">
        <v>34380</v>
      </c>
      <c r="I63" s="97">
        <v>62391.7</v>
      </c>
      <c r="J63" s="97"/>
      <c r="K63" s="62">
        <f t="shared" si="28"/>
        <v>75128.3</v>
      </c>
    </row>
    <row r="64" spans="1:11" ht="38.25">
      <c r="A64" s="15" t="s">
        <v>18</v>
      </c>
      <c r="B64" s="19" t="s">
        <v>31</v>
      </c>
      <c r="C64" s="68">
        <f>SUM(C65:C68)</f>
        <v>5.9503783822625058</v>
      </c>
      <c r="D64" s="16">
        <f>SUM(D65:D68)</f>
        <v>2274578</v>
      </c>
      <c r="E64" s="16">
        <f>SUM(E65:E67)</f>
        <v>495480</v>
      </c>
      <c r="F64" s="16">
        <f>SUM(F65:F67)</f>
        <v>495480</v>
      </c>
      <c r="G64" s="16">
        <f>SUM(G65:G67)</f>
        <v>495480</v>
      </c>
      <c r="H64" s="16">
        <f>SUM(H65:H67)</f>
        <v>495480</v>
      </c>
      <c r="I64" s="82">
        <f>SUM(I65:J68)</f>
        <v>3560801.63</v>
      </c>
      <c r="J64" s="82"/>
      <c r="K64" s="54">
        <f>SUM(K65:K68)</f>
        <v>-1286223.6299999999</v>
      </c>
    </row>
    <row r="65" spans="1:11">
      <c r="A65" s="12" t="s">
        <v>19</v>
      </c>
      <c r="B65" s="18" t="s">
        <v>33</v>
      </c>
      <c r="C65" s="66">
        <f t="shared" si="26"/>
        <v>3.8152007800593566</v>
      </c>
      <c r="D65" s="8">
        <f t="shared" ref="D65:D72" si="31">SUM(E65:H65)</f>
        <v>1636720</v>
      </c>
      <c r="E65" s="8">
        <v>409180</v>
      </c>
      <c r="F65" s="8">
        <v>409180</v>
      </c>
      <c r="G65" s="8">
        <v>409180</v>
      </c>
      <c r="H65" s="8">
        <v>409180</v>
      </c>
      <c r="I65" s="99">
        <v>2283077.19</v>
      </c>
      <c r="J65" s="99"/>
      <c r="K65" s="62">
        <f t="shared" si="28"/>
        <v>-646357.18999999994</v>
      </c>
    </row>
    <row r="66" spans="1:11">
      <c r="A66" s="12" t="s">
        <v>20</v>
      </c>
      <c r="B66" s="18" t="s">
        <v>117</v>
      </c>
      <c r="C66" s="66">
        <f t="shared" si="26"/>
        <v>1.158347136440202</v>
      </c>
      <c r="D66" s="8">
        <f t="shared" si="31"/>
        <v>184800</v>
      </c>
      <c r="E66" s="8">
        <v>46200</v>
      </c>
      <c r="F66" s="8">
        <v>46200</v>
      </c>
      <c r="G66" s="8">
        <v>46200</v>
      </c>
      <c r="H66" s="8">
        <v>46200</v>
      </c>
      <c r="I66" s="99">
        <v>693173.46</v>
      </c>
      <c r="J66" s="99"/>
      <c r="K66" s="62">
        <f t="shared" si="28"/>
        <v>-508373.45999999996</v>
      </c>
    </row>
    <row r="67" spans="1:11">
      <c r="A67" s="12" t="s">
        <v>58</v>
      </c>
      <c r="B67" s="18" t="s">
        <v>133</v>
      </c>
      <c r="C67" s="66">
        <f t="shared" si="26"/>
        <v>0.32772867035640757</v>
      </c>
      <c r="D67" s="8">
        <f>SUM(E67:H67)</f>
        <v>160400</v>
      </c>
      <c r="E67" s="8">
        <v>40100</v>
      </c>
      <c r="F67" s="8">
        <v>40100</v>
      </c>
      <c r="G67" s="8">
        <v>40100</v>
      </c>
      <c r="H67" s="8">
        <v>40100</v>
      </c>
      <c r="I67" s="99">
        <v>196118.08</v>
      </c>
      <c r="J67" s="99"/>
      <c r="K67" s="62">
        <f t="shared" si="28"/>
        <v>-35718.079999999987</v>
      </c>
    </row>
    <row r="68" spans="1:11">
      <c r="A68" s="12" t="s">
        <v>146</v>
      </c>
      <c r="B68" s="18" t="s">
        <v>30</v>
      </c>
      <c r="C68" s="66">
        <f t="shared" si="26"/>
        <v>0.64910179540654001</v>
      </c>
      <c r="D68" s="8">
        <v>292658</v>
      </c>
      <c r="E68" s="8"/>
      <c r="F68" s="8"/>
      <c r="G68" s="8"/>
      <c r="H68" s="8"/>
      <c r="I68" s="99">
        <v>388432.9</v>
      </c>
      <c r="J68" s="99"/>
      <c r="K68" s="62">
        <f t="shared" si="28"/>
        <v>-95774.900000000023</v>
      </c>
    </row>
    <row r="69" spans="1:11">
      <c r="A69" s="15" t="s">
        <v>21</v>
      </c>
      <c r="B69" s="17" t="s">
        <v>13</v>
      </c>
      <c r="C69" s="67">
        <f>SUM(C70:C72)</f>
        <v>2.6437286436191547</v>
      </c>
      <c r="D69" s="16">
        <f>SUM(D70:D72)</f>
        <v>3031578</v>
      </c>
      <c r="E69" s="16">
        <f>SUM(E70:E71)</f>
        <v>687237</v>
      </c>
      <c r="F69" s="16">
        <f>SUM(F70:F71)</f>
        <v>687237</v>
      </c>
      <c r="G69" s="16">
        <f>SUM(G70:G71)</f>
        <v>687237</v>
      </c>
      <c r="H69" s="16">
        <f>SUM(H70:H71)</f>
        <v>687237</v>
      </c>
      <c r="I69" s="98">
        <f>SUM(I70:J72)</f>
        <v>1582049.52</v>
      </c>
      <c r="J69" s="98"/>
      <c r="K69" s="52">
        <f>SUM(K70:K72)</f>
        <v>1449528.48</v>
      </c>
    </row>
    <row r="70" spans="1:11">
      <c r="A70" s="12" t="s">
        <v>59</v>
      </c>
      <c r="B70" s="18" t="s">
        <v>33</v>
      </c>
      <c r="C70" s="66">
        <f t="shared" si="26"/>
        <v>0.22867555346113735</v>
      </c>
      <c r="D70" s="8">
        <f t="shared" si="31"/>
        <v>1269108</v>
      </c>
      <c r="E70" s="8">
        <v>317277</v>
      </c>
      <c r="F70" s="8">
        <v>317277</v>
      </c>
      <c r="G70" s="8">
        <v>317277</v>
      </c>
      <c r="H70" s="8">
        <v>317277</v>
      </c>
      <c r="I70" s="97">
        <v>136843.10999999999</v>
      </c>
      <c r="J70" s="97"/>
      <c r="K70" s="62">
        <f t="shared" si="28"/>
        <v>1132264.8900000001</v>
      </c>
    </row>
    <row r="71" spans="1:11">
      <c r="A71" s="12" t="s">
        <v>60</v>
      </c>
      <c r="B71" s="18" t="s">
        <v>117</v>
      </c>
      <c r="C71" s="66">
        <f t="shared" si="26"/>
        <v>1.4859245073661131</v>
      </c>
      <c r="D71" s="8">
        <f t="shared" si="31"/>
        <v>1479840</v>
      </c>
      <c r="E71" s="8">
        <v>369960</v>
      </c>
      <c r="F71" s="8">
        <v>369960</v>
      </c>
      <c r="G71" s="8">
        <v>369960</v>
      </c>
      <c r="H71" s="8">
        <v>369960</v>
      </c>
      <c r="I71" s="97">
        <v>889201</v>
      </c>
      <c r="J71" s="97"/>
      <c r="K71" s="62">
        <f t="shared" si="28"/>
        <v>590639</v>
      </c>
    </row>
    <row r="72" spans="1:11">
      <c r="A72" s="12" t="s">
        <v>126</v>
      </c>
      <c r="B72" s="18" t="s">
        <v>30</v>
      </c>
      <c r="C72" s="66">
        <f t="shared" si="26"/>
        <v>0.92912858279190402</v>
      </c>
      <c r="D72" s="8">
        <f t="shared" si="31"/>
        <v>282630</v>
      </c>
      <c r="E72" s="8">
        <v>70657.5</v>
      </c>
      <c r="F72" s="8">
        <v>70657.5</v>
      </c>
      <c r="G72" s="8">
        <v>70657.5</v>
      </c>
      <c r="H72" s="8">
        <v>70657.5</v>
      </c>
      <c r="I72" s="97">
        <v>556005.41</v>
      </c>
      <c r="J72" s="97"/>
      <c r="K72" s="62">
        <f t="shared" si="28"/>
        <v>-273375.41000000003</v>
      </c>
    </row>
    <row r="73" spans="1:11" ht="25.5">
      <c r="A73" s="15" t="s">
        <v>23</v>
      </c>
      <c r="B73" s="19" t="s">
        <v>127</v>
      </c>
      <c r="C73" s="68">
        <f>C45+C57+C64+C69</f>
        <v>17.412972631079384</v>
      </c>
      <c r="D73" s="16">
        <f>D45+D57+D64+D69</f>
        <v>9957926.1999999993</v>
      </c>
      <c r="E73" s="16">
        <f t="shared" ref="E73:I73" si="32">E45+E57+E64+E69</f>
        <v>2352513.7999999998</v>
      </c>
      <c r="F73" s="16">
        <f t="shared" si="32"/>
        <v>2343374.7999999998</v>
      </c>
      <c r="G73" s="16">
        <f t="shared" si="32"/>
        <v>2343374.7999999998</v>
      </c>
      <c r="H73" s="16">
        <f t="shared" si="32"/>
        <v>2343374.7999999998</v>
      </c>
      <c r="I73" s="82">
        <f t="shared" si="32"/>
        <v>10420201.43</v>
      </c>
      <c r="J73" s="82"/>
      <c r="K73" s="63">
        <f>K45+K57+K64+K69</f>
        <v>-462275.23</v>
      </c>
    </row>
    <row r="74" spans="1:11">
      <c r="A74" s="15" t="s">
        <v>24</v>
      </c>
      <c r="B74" s="17" t="s">
        <v>22</v>
      </c>
      <c r="C74" s="17"/>
      <c r="D74" s="16">
        <f>SUM(D75:D79)</f>
        <v>20720965.440000001</v>
      </c>
      <c r="E74" s="16">
        <f t="shared" ref="E74:H74" si="33">SUM(E75:E79)</f>
        <v>0</v>
      </c>
      <c r="F74" s="16">
        <f t="shared" si="33"/>
        <v>0</v>
      </c>
      <c r="G74" s="16">
        <f t="shared" si="33"/>
        <v>0</v>
      </c>
      <c r="H74" s="16">
        <f t="shared" si="33"/>
        <v>0</v>
      </c>
      <c r="I74" s="98">
        <f>SUM(I75:J79)</f>
        <v>21034712.490000002</v>
      </c>
      <c r="J74" s="98"/>
      <c r="K74" s="52">
        <f>SUM(K75:K79)</f>
        <v>-313747.04999999865</v>
      </c>
    </row>
    <row r="75" spans="1:11">
      <c r="A75" s="12" t="s">
        <v>45</v>
      </c>
      <c r="B75" s="9" t="s">
        <v>145</v>
      </c>
      <c r="C75" s="18"/>
      <c r="D75" s="8">
        <f>I29</f>
        <v>10457212.110000001</v>
      </c>
      <c r="E75" s="8">
        <f>E29</f>
        <v>0</v>
      </c>
      <c r="F75" s="8">
        <f t="shared" ref="F75:H76" si="34">F29</f>
        <v>0</v>
      </c>
      <c r="G75" s="8">
        <f t="shared" si="34"/>
        <v>0</v>
      </c>
      <c r="H75" s="8">
        <f t="shared" si="34"/>
        <v>0</v>
      </c>
      <c r="I75" s="97">
        <v>13566796.85</v>
      </c>
      <c r="J75" s="97"/>
      <c r="K75" s="64">
        <f>D75-I75</f>
        <v>-3109584.7399999984</v>
      </c>
    </row>
    <row r="76" spans="1:11">
      <c r="A76" s="12" t="s">
        <v>46</v>
      </c>
      <c r="B76" s="9" t="s">
        <v>107</v>
      </c>
      <c r="C76" s="18"/>
      <c r="D76" s="8">
        <f>I30</f>
        <v>1658868.75</v>
      </c>
      <c r="E76" s="8">
        <f>E30</f>
        <v>0</v>
      </c>
      <c r="F76" s="8">
        <f t="shared" si="34"/>
        <v>0</v>
      </c>
      <c r="G76" s="8">
        <f t="shared" si="34"/>
        <v>0</v>
      </c>
      <c r="H76" s="8">
        <f t="shared" si="34"/>
        <v>0</v>
      </c>
      <c r="I76" s="97">
        <v>2994625.04</v>
      </c>
      <c r="J76" s="97"/>
      <c r="K76" s="64">
        <f t="shared" ref="K76:K79" si="35">D76-I76</f>
        <v>-1335756.29</v>
      </c>
    </row>
    <row r="77" spans="1:11">
      <c r="A77" s="12" t="s">
        <v>47</v>
      </c>
      <c r="B77" s="9" t="s">
        <v>106</v>
      </c>
      <c r="C77" s="7"/>
      <c r="D77" s="8">
        <f>I31</f>
        <v>3485085.86</v>
      </c>
      <c r="E77" s="8">
        <f t="shared" ref="E77:H79" si="36">E31</f>
        <v>0</v>
      </c>
      <c r="F77" s="8">
        <f t="shared" si="36"/>
        <v>0</v>
      </c>
      <c r="G77" s="8">
        <f t="shared" si="36"/>
        <v>0</v>
      </c>
      <c r="H77" s="8">
        <f t="shared" si="36"/>
        <v>0</v>
      </c>
      <c r="I77" s="97">
        <v>0</v>
      </c>
      <c r="J77" s="97"/>
      <c r="K77" s="64">
        <f t="shared" si="35"/>
        <v>3485085.86</v>
      </c>
    </row>
    <row r="78" spans="1:11">
      <c r="A78" s="12" t="s">
        <v>48</v>
      </c>
      <c r="B78" s="9" t="s">
        <v>97</v>
      </c>
      <c r="C78" s="7"/>
      <c r="D78" s="8">
        <f>I32</f>
        <v>1080251.82</v>
      </c>
      <c r="E78" s="8">
        <f t="shared" si="36"/>
        <v>0</v>
      </c>
      <c r="F78" s="8">
        <f t="shared" si="36"/>
        <v>0</v>
      </c>
      <c r="G78" s="8">
        <f t="shared" si="36"/>
        <v>0</v>
      </c>
      <c r="H78" s="8">
        <f t="shared" si="36"/>
        <v>0</v>
      </c>
      <c r="I78" s="97">
        <v>1080251</v>
      </c>
      <c r="J78" s="97"/>
      <c r="K78" s="64">
        <f t="shared" si="35"/>
        <v>0.82000000006519258</v>
      </c>
    </row>
    <row r="79" spans="1:11">
      <c r="A79" s="12" t="s">
        <v>108</v>
      </c>
      <c r="B79" s="9" t="s">
        <v>25</v>
      </c>
      <c r="C79" s="18"/>
      <c r="D79" s="8">
        <f>I33</f>
        <v>4039546.9</v>
      </c>
      <c r="E79" s="8">
        <f t="shared" si="36"/>
        <v>0</v>
      </c>
      <c r="F79" s="8">
        <f t="shared" si="36"/>
        <v>0</v>
      </c>
      <c r="G79" s="8">
        <f t="shared" si="36"/>
        <v>0</v>
      </c>
      <c r="H79" s="8">
        <f t="shared" si="36"/>
        <v>0</v>
      </c>
      <c r="I79" s="97">
        <v>3393039.6</v>
      </c>
      <c r="J79" s="97"/>
      <c r="K79" s="64">
        <f t="shared" si="35"/>
        <v>646507.29999999981</v>
      </c>
    </row>
    <row r="80" spans="1:11">
      <c r="A80" s="21" t="s">
        <v>38</v>
      </c>
      <c r="B80" s="13" t="s">
        <v>39</v>
      </c>
      <c r="C80" s="13"/>
      <c r="D80" s="5">
        <f>SUM(D81:D84)</f>
        <v>1177184</v>
      </c>
      <c r="E80" s="5">
        <f>SUM(E81:E83)</f>
        <v>0</v>
      </c>
      <c r="F80" s="5">
        <f>SUM(F81:F83)</f>
        <v>0</v>
      </c>
      <c r="G80" s="5">
        <f>SUM(G81:G83)</f>
        <v>0</v>
      </c>
      <c r="H80" s="5">
        <f>SUM(H81:H83)</f>
        <v>0</v>
      </c>
      <c r="I80" s="95">
        <f>SUM(I81:J84)</f>
        <v>1553650.67</v>
      </c>
      <c r="J80" s="95"/>
      <c r="K80" s="55">
        <f>SUM(K81:K84)</f>
        <v>-376466.66999999993</v>
      </c>
    </row>
    <row r="81" spans="1:11">
      <c r="A81" s="12" t="s">
        <v>61</v>
      </c>
      <c r="B81" s="7" t="s">
        <v>41</v>
      </c>
      <c r="C81" s="7"/>
      <c r="D81" s="96">
        <v>172064</v>
      </c>
      <c r="E81" s="96"/>
      <c r="F81" s="8">
        <f t="shared" ref="F81:H83" si="37">F35</f>
        <v>0</v>
      </c>
      <c r="G81" s="8">
        <f t="shared" si="37"/>
        <v>0</v>
      </c>
      <c r="H81" s="8">
        <f t="shared" si="37"/>
        <v>0</v>
      </c>
      <c r="I81" s="96">
        <v>172064</v>
      </c>
      <c r="J81" s="96"/>
      <c r="K81" s="64">
        <f>D81-I81</f>
        <v>0</v>
      </c>
    </row>
    <row r="82" spans="1:11">
      <c r="A82" s="12" t="s">
        <v>62</v>
      </c>
      <c r="B82" s="7" t="s">
        <v>42</v>
      </c>
      <c r="C82" s="7"/>
      <c r="D82" s="96">
        <v>218769</v>
      </c>
      <c r="E82" s="96"/>
      <c r="F82" s="8">
        <f t="shared" si="37"/>
        <v>0</v>
      </c>
      <c r="G82" s="8">
        <f t="shared" si="37"/>
        <v>0</v>
      </c>
      <c r="H82" s="8">
        <f t="shared" si="37"/>
        <v>0</v>
      </c>
      <c r="I82" s="96">
        <v>218769</v>
      </c>
      <c r="J82" s="96"/>
      <c r="K82" s="64">
        <f t="shared" ref="K82:K84" si="38">D82-I82</f>
        <v>0</v>
      </c>
    </row>
    <row r="83" spans="1:11">
      <c r="A83" s="12" t="s">
        <v>63</v>
      </c>
      <c r="B83" s="7" t="s">
        <v>43</v>
      </c>
      <c r="C83" s="7"/>
      <c r="D83" s="96">
        <v>691351</v>
      </c>
      <c r="E83" s="96"/>
      <c r="F83" s="8">
        <f t="shared" si="37"/>
        <v>0</v>
      </c>
      <c r="G83" s="8">
        <f t="shared" si="37"/>
        <v>0</v>
      </c>
      <c r="H83" s="8">
        <f t="shared" si="37"/>
        <v>0</v>
      </c>
      <c r="I83" s="96">
        <v>1067817.67</v>
      </c>
      <c r="J83" s="96"/>
      <c r="K83" s="64">
        <f t="shared" si="38"/>
        <v>-376466.66999999993</v>
      </c>
    </row>
    <row r="84" spans="1:11">
      <c r="A84" s="12" t="s">
        <v>144</v>
      </c>
      <c r="B84" s="7" t="s">
        <v>142</v>
      </c>
      <c r="C84" s="7"/>
      <c r="D84" s="96">
        <v>95000</v>
      </c>
      <c r="E84" s="96"/>
      <c r="F84" s="8"/>
      <c r="G84" s="8"/>
      <c r="H84" s="8"/>
      <c r="I84" s="96">
        <v>95000</v>
      </c>
      <c r="J84" s="96"/>
      <c r="K84" s="64">
        <f t="shared" si="38"/>
        <v>0</v>
      </c>
    </row>
    <row r="85" spans="1:11">
      <c r="A85" s="15" t="s">
        <v>64</v>
      </c>
      <c r="B85" s="19" t="s">
        <v>66</v>
      </c>
      <c r="C85" s="19"/>
      <c r="D85" s="20"/>
      <c r="E85" s="20">
        <v>109000</v>
      </c>
      <c r="F85" s="20">
        <v>109000</v>
      </c>
      <c r="G85" s="20">
        <v>109000</v>
      </c>
      <c r="H85" s="20">
        <v>109000</v>
      </c>
      <c r="I85" s="82">
        <v>21708</v>
      </c>
      <c r="J85" s="82"/>
      <c r="K85" s="54"/>
    </row>
    <row r="86" spans="1:11">
      <c r="A86" s="63" t="s">
        <v>44</v>
      </c>
      <c r="B86" s="19" t="s">
        <v>139</v>
      </c>
      <c r="C86" s="68">
        <f>SUM(C87:C92)</f>
        <v>3.2052756443677977</v>
      </c>
      <c r="D86" s="63">
        <f>D87</f>
        <v>1464213</v>
      </c>
      <c r="E86" s="20">
        <v>0</v>
      </c>
      <c r="F86" s="20">
        <v>366053</v>
      </c>
      <c r="G86" s="20">
        <v>1237448</v>
      </c>
      <c r="H86" s="20">
        <v>0</v>
      </c>
      <c r="I86" s="82">
        <f>SUM(I87:J92)</f>
        <v>1918088.23</v>
      </c>
      <c r="J86" s="82"/>
      <c r="K86" s="61">
        <f>D86-I86</f>
        <v>-453875.23</v>
      </c>
    </row>
    <row r="87" spans="1:11">
      <c r="A87" s="69"/>
      <c r="B87" s="73" t="s">
        <v>159</v>
      </c>
      <c r="C87" s="66">
        <f t="shared" ref="C87:C92" si="39">I87/49868/12</f>
        <v>0.16792326742600464</v>
      </c>
      <c r="D87" s="87">
        <f>D19+D27</f>
        <v>1464213</v>
      </c>
      <c r="E87" s="70"/>
      <c r="F87" s="70"/>
      <c r="G87" s="70"/>
      <c r="H87" s="70"/>
      <c r="I87" s="85">
        <v>100487.97</v>
      </c>
      <c r="J87" s="86"/>
      <c r="K87" s="90">
        <f>D87-I86</f>
        <v>-453875.23</v>
      </c>
    </row>
    <row r="88" spans="1:11" ht="15.75" customHeight="1">
      <c r="A88" s="69"/>
      <c r="B88" s="73" t="s">
        <v>154</v>
      </c>
      <c r="C88" s="66">
        <f t="shared" si="39"/>
        <v>0.88021839322478013</v>
      </c>
      <c r="D88" s="88"/>
      <c r="E88" s="70"/>
      <c r="F88" s="70"/>
      <c r="G88" s="70"/>
      <c r="H88" s="70"/>
      <c r="I88" s="85">
        <v>526736.77</v>
      </c>
      <c r="J88" s="86"/>
      <c r="K88" s="91"/>
    </row>
    <row r="89" spans="1:11">
      <c r="A89" s="69"/>
      <c r="B89" s="73" t="s">
        <v>155</v>
      </c>
      <c r="C89" s="66">
        <f t="shared" si="39"/>
        <v>0.41737126012673459</v>
      </c>
      <c r="D89" s="88"/>
      <c r="E89" s="70"/>
      <c r="F89" s="70"/>
      <c r="G89" s="70"/>
      <c r="H89" s="70"/>
      <c r="I89" s="85">
        <v>249761.64</v>
      </c>
      <c r="J89" s="86"/>
      <c r="K89" s="91"/>
    </row>
    <row r="90" spans="1:11">
      <c r="A90" s="69"/>
      <c r="B90" s="73" t="s">
        <v>156</v>
      </c>
      <c r="C90" s="66">
        <f t="shared" si="39"/>
        <v>0.22814949800807463</v>
      </c>
      <c r="D90" s="88"/>
      <c r="E90" s="70"/>
      <c r="F90" s="70"/>
      <c r="G90" s="70"/>
      <c r="H90" s="70"/>
      <c r="I90" s="85">
        <v>136528.31</v>
      </c>
      <c r="J90" s="86"/>
      <c r="K90" s="91"/>
    </row>
    <row r="91" spans="1:11">
      <c r="A91" s="69"/>
      <c r="B91" s="73" t="s">
        <v>157</v>
      </c>
      <c r="C91" s="66">
        <f t="shared" si="39"/>
        <v>0.24588503649635038</v>
      </c>
      <c r="D91" s="88"/>
      <c r="E91" s="72"/>
      <c r="F91" s="72"/>
      <c r="G91" s="72"/>
      <c r="H91" s="72"/>
      <c r="I91" s="85">
        <v>147141.54</v>
      </c>
      <c r="J91" s="86"/>
      <c r="K91" s="91"/>
    </row>
    <row r="92" spans="1:11" ht="15.75" thickBot="1">
      <c r="A92" s="71"/>
      <c r="B92" s="74" t="s">
        <v>158</v>
      </c>
      <c r="C92" s="66">
        <f t="shared" si="39"/>
        <v>1.2657281890858534</v>
      </c>
      <c r="D92" s="89"/>
      <c r="E92" s="72"/>
      <c r="F92" s="72"/>
      <c r="G92" s="72"/>
      <c r="H92" s="72"/>
      <c r="I92" s="85">
        <v>757432</v>
      </c>
      <c r="J92" s="86"/>
      <c r="K92" s="92"/>
    </row>
    <row r="93" spans="1:11" ht="15.75" thickBot="1">
      <c r="A93" s="75" t="s">
        <v>50</v>
      </c>
      <c r="B93" s="76" t="s">
        <v>56</v>
      </c>
      <c r="C93" s="79">
        <f>C73+C86</f>
        <v>20.618248275447183</v>
      </c>
      <c r="D93" s="77">
        <f>D73+D74+D80+D85+D86</f>
        <v>33320288.640000001</v>
      </c>
      <c r="E93" s="77">
        <f t="shared" ref="E93:I93" si="40">E73+E74+E80+E85+E86</f>
        <v>2461513.7999999998</v>
      </c>
      <c r="F93" s="77">
        <f t="shared" si="40"/>
        <v>2818427.8</v>
      </c>
      <c r="G93" s="77">
        <f t="shared" si="40"/>
        <v>3689822.8</v>
      </c>
      <c r="H93" s="77">
        <f t="shared" si="40"/>
        <v>2452374.7999999998</v>
      </c>
      <c r="I93" s="83">
        <f t="shared" si="40"/>
        <v>34948360.82</v>
      </c>
      <c r="J93" s="84"/>
      <c r="K93" s="78">
        <f>D93-I93</f>
        <v>-1628072.1799999997</v>
      </c>
    </row>
    <row r="94" spans="1:11">
      <c r="A94" s="58" t="s">
        <v>138</v>
      </c>
      <c r="B94" s="59"/>
      <c r="C94" s="60"/>
      <c r="D94" s="81"/>
      <c r="E94" s="29"/>
      <c r="F94" s="29"/>
      <c r="G94" s="29"/>
      <c r="H94" s="29"/>
    </row>
    <row r="95" spans="1:11">
      <c r="A95" s="1"/>
      <c r="B95" s="2"/>
      <c r="C95" s="2"/>
      <c r="D95" s="3"/>
      <c r="E95" s="3"/>
      <c r="F95" s="3"/>
      <c r="G95" s="3"/>
    </row>
    <row r="96" spans="1:11">
      <c r="A96" s="4"/>
      <c r="B96" s="44" t="s">
        <v>99</v>
      </c>
      <c r="C96" s="45"/>
      <c r="D96" s="45"/>
      <c r="E96" s="46"/>
      <c r="J96" s="44" t="s">
        <v>103</v>
      </c>
      <c r="K96" s="47"/>
    </row>
    <row r="97" spans="1:11">
      <c r="A97" s="4"/>
      <c r="B97" s="49" t="s">
        <v>100</v>
      </c>
      <c r="C97" s="100"/>
      <c r="D97" s="100"/>
      <c r="E97" s="46"/>
      <c r="J97" s="4"/>
      <c r="K97" s="48"/>
    </row>
    <row r="98" spans="1:11">
      <c r="A98" s="4"/>
      <c r="B98" s="44" t="s">
        <v>101</v>
      </c>
      <c r="C98" s="45"/>
      <c r="D98" s="45"/>
      <c r="E98" s="46"/>
      <c r="J98" s="44" t="s">
        <v>104</v>
      </c>
      <c r="K98" s="47"/>
    </row>
    <row r="99" spans="1:11">
      <c r="A99" s="4"/>
      <c r="B99" s="49" t="s">
        <v>100</v>
      </c>
      <c r="C99" s="100"/>
      <c r="D99" s="100"/>
      <c r="E99" s="46"/>
      <c r="F99" s="4"/>
      <c r="G99" s="48"/>
    </row>
    <row r="100" spans="1:11">
      <c r="A100" s="4"/>
      <c r="B100" s="4"/>
      <c r="C100" s="4"/>
      <c r="D100" s="4"/>
      <c r="E100" s="4"/>
      <c r="F100" s="4"/>
      <c r="G100" s="4"/>
    </row>
    <row r="101" spans="1:11">
      <c r="A101" s="4"/>
      <c r="B101" s="49" t="s">
        <v>102</v>
      </c>
      <c r="D101" s="4"/>
      <c r="E101" s="4"/>
      <c r="F101" s="4"/>
      <c r="G101" s="4"/>
    </row>
    <row r="102" spans="1:11">
      <c r="D102" s="25"/>
      <c r="E102" s="27"/>
      <c r="F102" s="27"/>
      <c r="G102" s="26"/>
    </row>
    <row r="103" spans="1:11">
      <c r="D103" s="25"/>
      <c r="E103" s="27"/>
      <c r="F103" s="25"/>
      <c r="G103" s="27"/>
    </row>
    <row r="104" spans="1:11">
      <c r="D104" s="25"/>
      <c r="E104" s="25"/>
      <c r="F104" s="25"/>
      <c r="G104" s="25"/>
    </row>
  </sheetData>
  <mergeCells count="78">
    <mergeCell ref="D83:E83"/>
    <mergeCell ref="D84:E84"/>
    <mergeCell ref="D36:E36"/>
    <mergeCell ref="D37:E37"/>
    <mergeCell ref="D38:E38"/>
    <mergeCell ref="D81:E81"/>
    <mergeCell ref="D82:E82"/>
    <mergeCell ref="H10:H11"/>
    <mergeCell ref="I84:J84"/>
    <mergeCell ref="I68:J68"/>
    <mergeCell ref="B10:B11"/>
    <mergeCell ref="C10:C11"/>
    <mergeCell ref="D10:D11"/>
    <mergeCell ref="E10:E11"/>
    <mergeCell ref="F10:F11"/>
    <mergeCell ref="I49:J49"/>
    <mergeCell ref="I50:J50"/>
    <mergeCell ref="I51:J51"/>
    <mergeCell ref="I52:J52"/>
    <mergeCell ref="I53:J53"/>
    <mergeCell ref="I60:J60"/>
    <mergeCell ref="I61:J61"/>
    <mergeCell ref="D35:E35"/>
    <mergeCell ref="C97:D97"/>
    <mergeCell ref="C99:D99"/>
    <mergeCell ref="A5:K5"/>
    <mergeCell ref="A6:K6"/>
    <mergeCell ref="I10:I11"/>
    <mergeCell ref="J10:J11"/>
    <mergeCell ref="K10:K11"/>
    <mergeCell ref="A12:K12"/>
    <mergeCell ref="A43:K43"/>
    <mergeCell ref="I45:J45"/>
    <mergeCell ref="I46:J46"/>
    <mergeCell ref="I47:J47"/>
    <mergeCell ref="I48:J48"/>
    <mergeCell ref="A9:D9"/>
    <mergeCell ref="A10:A11"/>
    <mergeCell ref="G10:G11"/>
    <mergeCell ref="I62:J62"/>
    <mergeCell ref="I63:J63"/>
    <mergeCell ref="I54:J54"/>
    <mergeCell ref="I55:J55"/>
    <mergeCell ref="I56:J56"/>
    <mergeCell ref="I57:J57"/>
    <mergeCell ref="I58:J58"/>
    <mergeCell ref="I82:J82"/>
    <mergeCell ref="I83:J83"/>
    <mergeCell ref="I85:J85"/>
    <mergeCell ref="I75:J75"/>
    <mergeCell ref="I76:J76"/>
    <mergeCell ref="I77:J77"/>
    <mergeCell ref="I78:J78"/>
    <mergeCell ref="I79:J79"/>
    <mergeCell ref="D87:D92"/>
    <mergeCell ref="K87:K92"/>
    <mergeCell ref="I44:J44"/>
    <mergeCell ref="I80:J80"/>
    <mergeCell ref="I81:J81"/>
    <mergeCell ref="I70:J70"/>
    <mergeCell ref="I71:J71"/>
    <mergeCell ref="I72:J72"/>
    <mergeCell ref="I73:J73"/>
    <mergeCell ref="I74:J74"/>
    <mergeCell ref="I64:J64"/>
    <mergeCell ref="I65:J65"/>
    <mergeCell ref="I66:J66"/>
    <mergeCell ref="I67:J67"/>
    <mergeCell ref="I69:J69"/>
    <mergeCell ref="I59:J59"/>
    <mergeCell ref="I86:J86"/>
    <mergeCell ref="I93:J93"/>
    <mergeCell ref="I87:J87"/>
    <mergeCell ref="I88:J88"/>
    <mergeCell ref="I89:J89"/>
    <mergeCell ref="I90:J90"/>
    <mergeCell ref="I92:J92"/>
    <mergeCell ref="I91:J91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2015-03-11T04:38:31Z</dcterms:modified>
</cp:coreProperties>
</file>